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6\2026-04-ХХ 1Q26 Operating Results\Datapack\"/>
    </mc:Choice>
  </mc:AlternateContent>
  <xr:revisionPtr revIDLastSave="0" documentId="8_{F863D4C5-1C7C-478A-B5A3-CD3B3B82E6F4}" xr6:coauthVersionLast="36" xr6:coauthVersionMax="36" xr10:uidLastSave="{00000000-0000-0000-0000-000000000000}"/>
  <bookViews>
    <workbookView xWindow="5175" yWindow="465" windowWidth="19935" windowHeight="14865" tabRatio="670" firstSheet="1" activeTab="1" xr2:uid="{8BED7D6A-33C6-46EF-A708-EB7D78F6E46A}"/>
  </bookViews>
  <sheets>
    <sheet name="Содержание" sheetId="8" r:id="rId1"/>
    <sheet name="Обзор" sheetId="1" r:id="rId2"/>
    <sheet name="Операционные результаты" sheetId="2" r:id="rId3"/>
    <sheet name="ОФР" sheetId="5" r:id="rId4"/>
    <sheet name="Бухгалтерский баланс" sheetId="6" r:id="rId5"/>
    <sheet name="ОДДС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[139]Sensitivity!$S$17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[63]Баланс95!#REF!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[140]Расчеты!$B$15</definedName>
    <definedName name="ASS_COUNT_2">[140]Расчеты!$B$16</definedName>
    <definedName name="ASS_COUNT_3">[140]Расчеты!$B$17</definedName>
    <definedName name="ASS_COUNT_4">[140]Расчеты!$B$18</definedName>
    <definedName name="ASS_COUNT_5">[140]Расчеты!$B$19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[141]Library!$A$2:$A$224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'[142]Лист 2,0201,1010,0'!#REF!</definedName>
    <definedName name="bbb" hidden="1">{#N/A,#N/A,FALSE,"Aging Summary";#N/A,#N/A,FALSE,"Ratio Analysis";#N/A,#N/A,FALSE,"Test 120 Day Accts";#N/A,#N/A,FALSE,"Tickmarks"}</definedName>
    <definedName name="beginyear">'[143]05-09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[144]Balance_sheet!#REF!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[144]Balance_sheet!#REF!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[144]Balance_sheet!#REF!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[144]Balance_sheet!#REF!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[144]Balance_sheet!#REF!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[144]Balance_sheet!#REF!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[63]Баланс95!#REF!</definedName>
    <definedName name="Bld">[145]Parametrs!$B$4:$V$4</definedName>
    <definedName name="bloomberg" hidden="1">{"glc1",#N/A,FALSE,"GLC";"glc2",#N/A,FALSE,"GLC";"glc3",#N/A,FALSE,"GLC";"glc4",#N/A,FALSE,"GLC";"glc5",#N/A,FALSE,"GLC"}</definedName>
    <definedName name="BLPH1" hidden="1">'[133]Read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'[133]Read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[63]Баланс95!#REF!</definedName>
    <definedName name="Button_67">"X2001_PROJECT_N_1_DailySch_List"</definedName>
    <definedName name="BV">[63]Баланс95!#REF!</definedName>
    <definedName name="bvgb" hidden="1">{#N/A,#N/A,TRUE,"Буржуям"}</definedName>
    <definedName name="BVV">'[146]график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[63]Баланс95!#REF!</definedName>
    <definedName name="CALC_SHARES">[140]Расчеты!#REF!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[63]Баланс95!#REF!</definedName>
    <definedName name="CASH_DEFICIT">[140]Расчеты!$B$43</definedName>
    <definedName name="CashFlows">[147]Reference!$G$20:$G$24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[63]Баланс95!#REF!</definedName>
    <definedName name="Cedis">[148]KEY!#REF!</definedName>
    <definedName name="CelCodePrim" hidden="1">[149]Plan!#REF!</definedName>
    <definedName name="CelCodeSec" hidden="1">[149]Plan!#REF!</definedName>
    <definedName name="CelCritPrim" hidden="1">[149]Plan!#REF!</definedName>
    <definedName name="CelCritSec" hidden="1">[149]Plan!#REF!</definedName>
    <definedName name="Cena">#REF!</definedName>
    <definedName name="CF_7_ktn" hidden="1">{"Output-All",#N/A,FALSE,"Output"}</definedName>
    <definedName name="cf2_" hidden="1">{0,0,0,0}</definedName>
    <definedName name="CGS">[63]Баланс95!#REF!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[149]Plan!#REF!</definedName>
    <definedName name="codelib1" hidden="1">[149]Plan!#REF!</definedName>
    <definedName name="Coeff2">[150]SENSITIVITY!$C$12</definedName>
    <definedName name="Coeff3">[150]SENSITIVITY!$C$14</definedName>
    <definedName name="Coeff4">[150]SENSITIVITY!$C$16</definedName>
    <definedName name="CoLibMaj" hidden="1">[149]Plan!#REF!</definedName>
    <definedName name="CoLibMineur" hidden="1">[149]Plan!#REF!</definedName>
    <definedName name="Collaterals">[141]Library!$D$2:$D$6</definedName>
    <definedName name="comp">[151]Титул!$B$6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[139]Sensitivity!$S$5</definedName>
    <definedName name="Covenants">[147]Reference!$G$6:$G$7</definedName>
    <definedName name="Cr_Amount">#REF!</definedName>
    <definedName name="Cr_Amount1">[152]Данные!$D$19</definedName>
    <definedName name="CREDIT_FRA">[140]Расчеты!$C$34</definedName>
    <definedName name="CREDIT_INT">[140]Расчеты!$B$34</definedName>
    <definedName name="CREDIT_PERIOD">#REF!</definedName>
    <definedName name="CS">[63]Баланс95!#REF!</definedName>
    <definedName name="CSV">[63]Баланс95!#REF!</definedName>
    <definedName name="cu00.UserArea" hidden="1">[153]cus_HK1033!$B$2:$P$192</definedName>
    <definedName name="CUR">#REF!</definedName>
    <definedName name="CURLANGUAGE">[140]Расчеты!$B$40</definedName>
    <definedName name="Currencies">[141]Library!$C$2:$C$10</definedName>
    <definedName name="currency">[145]Parametrs!$B$8:$G$8</definedName>
    <definedName name="CURRENCY_NAME">[140]Расчеты!$C$55</definedName>
    <definedName name="CURRENCY_RATE">[145]Parametrs!$B$11:$CRF$11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[154]F1_SPRAV!$B$4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'[155]Balance Sheet'!#REF!</definedName>
    <definedName name="data84">'[155]Balance Sheet'!#REF!</definedName>
    <definedName name="data85">'[155]Balance Sheet'!#REF!</definedName>
    <definedName name="data86">'[155]Balance Sheet'!#REF!</definedName>
    <definedName name="data87">'[155]Balance Sheet'!#REF!</definedName>
    <definedName name="data88">'[155]Balance Sheet'!#REF!</definedName>
    <definedName name="data89">'[155]Balance Sheet'!#REF!</definedName>
    <definedName name="data90">'[155]Balance Sheet'!#REF!</definedName>
    <definedName name="data91">'[155]Balance Sheet'!#REF!</definedName>
    <definedName name="data92">'[155]Balance Sheet'!#REF!</definedName>
    <definedName name="data93">'[155]Balance Sheet'!#REF!</definedName>
    <definedName name="data94">'[155]Balance Sheet'!#REF!</definedName>
    <definedName name="data95">'[155]Balance Sheet'!#REF!</definedName>
    <definedName name="data96">'[155]Balance Sheet'!#REF!</definedName>
    <definedName name="data97">'[155]Balance Sheet'!#REF!</definedName>
    <definedName name="data98">'[155]Balance Sheet'!#REF!</definedName>
    <definedName name="data99">'[155]Balance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'[156]Master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[63]Баланс95!#REF!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'[157]Dropdown list'!$A$2:$A$4</definedName>
    <definedName name="DEBIT_FRA">[140]Расчеты!$C$33</definedName>
    <definedName name="DEBIT_INT">[140]Расчеты!$B$33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[140]Расчеты!$B$26</definedName>
    <definedName name="DIVIDEND_SHARE">#REF!</definedName>
    <definedName name="dividends_net">[148]KEY!#REF!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[63]Баланс95!#REF!</definedName>
    <definedName name="DВ18">'[36]матер.(октябрь)'!#REF!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[158]Настройка!$A$5</definedName>
    <definedName name="EPCS">[63]Баланс95!#REF!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[159]comps!$A$47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[145]Parametrs!#REF!</definedName>
    <definedName name="eurutryut">[0]!eurutryut</definedName>
    <definedName name="EV">[160]курс!$C$4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[161]Сводная!$B$3:$E$94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'[162]анализ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[148]KEY!#REF!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[148]KEY!#REF!</definedName>
    <definedName name="fix">[141]Library!$E$2:$E$47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[145]Parametrs!$B$7:$AI$7</definedName>
    <definedName name="footer">#REF!</definedName>
    <definedName name="Functional_Uses">[76]Inputs_Assumptions!$B$25:$G$25</definedName>
    <definedName name="Fund_name">[163]AccReport!#REF!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[164]Reference!$G$32:$I$73</definedName>
    <definedName name="G" hidden="1">{"'Grafik Kontrol'!$A$1:$J$8"}</definedName>
    <definedName name="gdhg">[0]!gdhg</definedName>
    <definedName name="GE_COUNT_1">[140]Расчеты!$B$48</definedName>
    <definedName name="GE_COUNT_2">[140]Расчеты!$B$49</definedName>
    <definedName name="GE_COUNT_3">[140]Расчеты!$B$50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[35]!GetSANDValue</definedName>
    <definedName name="GetVal">[35]!GetVal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[63]Баланс95!#REF!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[148]KEY!#REF!</definedName>
    <definedName name="Graph_Financing_surplus">[148]KEY!#REF!</definedName>
    <definedName name="Graph_Operating_expenses">[148]KEY!#REF!</definedName>
    <definedName name="Graph_Operating_profit">[148]KEY!#REF!</definedName>
    <definedName name="Graph_Profit_after_tax">[148]KEY!#REF!</definedName>
    <definedName name="Graph_Profit_before_tax">[148]KEY!#REF!</definedName>
    <definedName name="Graph_sales">[148]KEY!#REF!</definedName>
    <definedName name="Graph_Years">[148]KEY!#REF!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[147]Reference!$G$10:$G$17</definedName>
    <definedName name="Headroom">[147]Reference!$G$10:$G$17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[140]Inside!$A$131</definedName>
    <definedName name="IN_ASSET_12">[140]Inside!$A$134</definedName>
    <definedName name="IN_ASSET_13">[140]Inside!$A$138</definedName>
    <definedName name="IN_ASSET_14">[140]Inside!$A$142</definedName>
    <definedName name="IN_ASSET_15">[140]Inside!$A$146</definedName>
    <definedName name="IN_ASSET_21">[140]Inside!$A$150</definedName>
    <definedName name="IN_ASSET_22">[140]Inside!$A$153</definedName>
    <definedName name="IN_ASSET_23">[140]Inside!$A$157</definedName>
    <definedName name="IN_ASSET_24">[140]Inside!$A$161</definedName>
    <definedName name="IN_ASSET_25">[140]Inside!$A$165</definedName>
    <definedName name="IN_ASSET_31">[140]Inside!$A$169</definedName>
    <definedName name="IN_ASSET_32">[140]Inside!$A$172</definedName>
    <definedName name="IN_ASSET_33">[140]Inside!$A$176</definedName>
    <definedName name="IN_ASSET_34">[140]Inside!$A$180</definedName>
    <definedName name="IN_ASSET_35">[140]Inside!$A$184</definedName>
    <definedName name="IN_ASSET_41">[140]Inside!$A$188</definedName>
    <definedName name="IN_ASSET_42">[140]Inside!$A$191</definedName>
    <definedName name="IN_ASSET_43">[140]Inside!$A$195</definedName>
    <definedName name="IN_ASSET_44">[140]Inside!$A$199</definedName>
    <definedName name="IN_ASSET_45">[140]Inside!$A$203</definedName>
    <definedName name="IN_ASSET_51">[140]Inside!$A$207</definedName>
    <definedName name="IN_ASSET_52">[140]Inside!$A$210</definedName>
    <definedName name="IN_ASSET_53">[140]Inside!$A$214</definedName>
    <definedName name="IN_ASSET_54">[140]Inside!$A$218</definedName>
    <definedName name="IN_ASSET_55">[140]Inside!$A$222</definedName>
    <definedName name="IN_ASSET_61">[140]Inside!$A$226</definedName>
    <definedName name="IN_ASSET_62">[140]Inside!$A$229</definedName>
    <definedName name="IN_ASSET_63">[140]Inside!$A$233</definedName>
    <definedName name="IN_ASSET_64">[140]Inside!$A$237</definedName>
    <definedName name="IN_ASSET_65">[140]Inside!$A$241</definedName>
    <definedName name="IN_ASSET_71">[140]Inside!$A$245</definedName>
    <definedName name="IN_ASSET_72">[140]Inside!$A$248</definedName>
    <definedName name="IN_ASSET_73">[140]Inside!$A$252</definedName>
    <definedName name="IN_ASSET_74">[140]Inside!$A$256</definedName>
    <definedName name="IN_ASSET_75">[140]Inside!$A$260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[140]Inside!$A$58</definedName>
    <definedName name="INSIDE_COST_2">[140]Inside!$A$70</definedName>
    <definedName name="INSIDE_COST_3">[140]Inside!$A$82</definedName>
    <definedName name="INSIDE_COST_4">[140]Inside!$A$94</definedName>
    <definedName name="INSIDE_COST_5">[140]Inside!$A$106</definedName>
    <definedName name="INSIDE_COST_6">[140]Inside!$A$118</definedName>
    <definedName name="INSIDE_GE_1">[140]Inside!$A$266</definedName>
    <definedName name="INSIDE_GE_2">[140]Inside!$A$271</definedName>
    <definedName name="INSIDE_GE_3">[140]Inside!$A$276</definedName>
    <definedName name="INSIDE_GE_VAT_1">[140]Inside!$A$280</definedName>
    <definedName name="INSIDE_GE_VAT_2">[140]Inside!$A$285</definedName>
    <definedName name="INSIDE_GE_VAT_3">[140]Inside!$A$290</definedName>
    <definedName name="INSIDE_PERS_1">[140]Inside!$A$299</definedName>
    <definedName name="INSIDE_PERS_2">[140]Inside!$A$302</definedName>
    <definedName name="INSIDE_PERS_3">[140]Inside!$A$312</definedName>
    <definedName name="INSIDE_PROD_1">[140]Inside!$A$8</definedName>
    <definedName name="INSIDE_PROD_2">[140]Inside!$A$20</definedName>
    <definedName name="INSIDE_PROD_3">[140]Inside!$A$32</definedName>
    <definedName name="INSIDE_PROD_4">[140]Inside!$A$44</definedName>
    <definedName name="INSIDE_SHARE_1">[140]Inside!$A$316</definedName>
    <definedName name="INSIDE_SHARE_2">[140]Inside!$A$319</definedName>
    <definedName name="INSIDE_SHARE_3">[140]Inside!$A$322</definedName>
    <definedName name="INT">[63]Баланс95!#REF!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[148]KEY!#REF!</definedName>
    <definedName name="interest">'[156]Master Inputs Start Here'!$D$13</definedName>
    <definedName name="Interval">[109]Настройка!$B$13</definedName>
    <definedName name="INV_NUM">#REF!</definedName>
    <definedName name="INVENT_FRA">[140]Расчеты!$C$35</definedName>
    <definedName name="INVENT_INT">[140]Расчеты!$B$35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[140]Расчеты!$B$61</definedName>
    <definedName name="IS_PRO">[140]Расчеты!$B$5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[165]Analitics_Values!$F$3</definedName>
    <definedName name="k_50_60_str">[165]Analitics_Values!$F$4</definedName>
    <definedName name="k_70_80_str">[165]Analitics_Values!$F$5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[43]Кадастр!$B$4:$B$1597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[43]Исх_данные!$B$14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[145]Parametrs!$B$12:$C$12</definedName>
    <definedName name="Lang">[166]Groupings!$G$2</definedName>
    <definedName name="LANG_SELECTION_PROMPT">#REF!</definedName>
    <definedName name="Language">#REF!</definedName>
    <definedName name="LB">[4]Лист1!#REF!</definedName>
    <definedName name="LD">[63]Баланс95!#REF!</definedName>
    <definedName name="ldfgdfg" hidden="1">{"Area1",#N/A,FALSE,"OREWACC";"Area2",#N/A,FALSE,"OREWACC"}</definedName>
    <definedName name="LEASES_NUM">[140]Расчеты!$B$24</definedName>
    <definedName name="LeaseStatus">[145]Parametrs!$B$3:$G$3</definedName>
    <definedName name="Leasure">#REF!</definedName>
    <definedName name="LEVELS">#REF!</definedName>
    <definedName name="LEXAN">'[34]см. ЦЕНЫ '!$B$288</definedName>
    <definedName name="lfr" hidden="1">{"'интерфейс'!$J$31:$M$43"}</definedName>
    <definedName name="lg">[166]Список!#REF!</definedName>
    <definedName name="LGP_1">#REF!</definedName>
    <definedName name="LGP_CODE">#REF!</definedName>
    <definedName name="LGP_NAME">#REF!</definedName>
    <definedName name="LifeCycle">[145]Parametrs!$B$2:$D$2</definedName>
    <definedName name="limcount" hidden="1">1</definedName>
    <definedName name="LINK_TO_SENS">#REF!</definedName>
    <definedName name="List_Curr">[167]DropDownList!$D$1:$D$5</definedName>
    <definedName name="List_NewRef">[167]DropDownList!$G$1:$G$3</definedName>
    <definedName name="List_OpEx">[168]DropDownList!$A$1:$A$4</definedName>
    <definedName name="List_Org">#REF!</definedName>
    <definedName name="LIST_PERLEN">[140]Расчеты!$B$6</definedName>
    <definedName name="LIST_STARTMON">[140]Расчеты!$B$9</definedName>
    <definedName name="LIST_STARTYEAR">[140]Расчеты!$B$10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[140]Расчеты!$B$22</definedName>
    <definedName name="LONGITUDE">#REF!</definedName>
    <definedName name="lv">[166]Дебиторы!$B$4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[63]Баланс95!#REF!</definedName>
    <definedName name="market" hidden="1">{#N/A,"70% Success",FALSE,"Sales Forecast";#N/A,#N/A,FALSE,"Sheet2"}</definedName>
    <definedName name="market_supply">[145]Parametrs!$B$9:$C$9</definedName>
    <definedName name="MAX_DURATION">[140]Расчеты!$B$41</definedName>
    <definedName name="MAX_SENS_OFFSET">[140]Расчеты!$B$44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[164]Reference!$G$77:$G$88</definedName>
    <definedName name="MPCS">[63]Баланс95!#REF!</definedName>
    <definedName name="MS">[63]Баланс95!#REF!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[63]Баланс95!#REF!</definedName>
    <definedName name="NCS">[63]Баланс95!#REF!</definedName>
    <definedName name="NDS">#REF!</definedName>
    <definedName name="nekotir_ak">#REF!</definedName>
    <definedName name="nekotir_ob">#REF!</definedName>
    <definedName name="New_spaces">[139]Sensitivity!$I$35</definedName>
    <definedName name="nfyz" hidden="1">{#N/A,#N/A,TRUE,"Буржуям"}</definedName>
    <definedName name="Nhf">[131]НФИк!$A$17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[42]Sum!$B$2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[169]WorkCap!$B$2</definedName>
    <definedName name="No.2">[42]DCF!$B$9</definedName>
    <definedName name="No.22">'[156]HBS initial'!#REF!</definedName>
    <definedName name="No.23">'[156]HBS initial'!#REF!</definedName>
    <definedName name="No.24">'[156]HBS initial'!#REF!</definedName>
    <definedName name="No.25">'[156]HBS initial'!#REF!</definedName>
    <definedName name="No.26">'[156]HBS initial'!#REF!</definedName>
    <definedName name="No.28">'[156]HIS initial'!#REF!</definedName>
    <definedName name="No.29">'[156]HIS initial'!#REF!</definedName>
    <definedName name="No.3">#REF!</definedName>
    <definedName name="No.30">'[156]HIS initial'!#REF!</definedName>
    <definedName name="No.31">'[156]HIS initial'!#REF!</definedName>
    <definedName name="No.7">#REF!</definedName>
    <definedName name="No.8">#REF!</definedName>
    <definedName name="No.9">[170]WACC!$B$2</definedName>
    <definedName name="Nom_prosp">[154]F1_SPRAV!$B$3</definedName>
    <definedName name="NPR">#REF!</definedName>
    <definedName name="NPS">[63]Баланс95!#REF!</definedName>
    <definedName name="NPT">[63]Баланс95!#REF!</definedName>
    <definedName name="NPV">#REF!</definedName>
    <definedName name="NR">#REF!</definedName>
    <definedName name="NS">[63]Баланс95!#REF!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[171]ДАННЫЕ!$C$17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[63]Баланс95!#REF!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[140]Расчеты!$B$7</definedName>
    <definedName name="Period_To">#REF!</definedName>
    <definedName name="Period1">[158]Настройка!$A$8</definedName>
    <definedName name="Period2">[172]Настройка!$A$11</definedName>
    <definedName name="PeriodLong">#REF!</definedName>
    <definedName name="PERS_COUNT_1">[140]Расчеты!$B$51</definedName>
    <definedName name="PERS_COUNT_2">[140]Расчеты!$B$52</definedName>
    <definedName name="PERS_COUNT_3">[140]Расчеты!$B$53</definedName>
    <definedName name="Pg1_Chrg_Totals">#N/A</definedName>
    <definedName name="Pg1_NChrg_Totals">#N/A</definedName>
    <definedName name="plan" hidden="1">[149]Plan!#REF!</definedName>
    <definedName name="plan1" hidden="1">[149]Plan!#REF!</definedName>
    <definedName name="PLMajeur" hidden="1">[149]Plan!#REF!</definedName>
    <definedName name="PlMineur" hidden="1">[149]Plan!#REF!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[165]Analitics_Values!$D$9</definedName>
    <definedName name="price_2_k">[165]Analitics_Values!$D$8</definedName>
    <definedName name="price_2_p">[165]Analitics_Values!$D$10</definedName>
    <definedName name="price_3_p">[165]Analitics_Values!$D$11</definedName>
    <definedName name="Price_dynamics">[139]Sensitivity!$S$6</definedName>
    <definedName name="PRIME_TASS_Report">#REF!</definedName>
    <definedName name="Pring_Titles">'[166]#ССЫЛКА'!$A$1:$IV$16</definedName>
    <definedName name="PRINT">#REF!</definedName>
    <definedName name="Print1">[173]Черновик!$A$1:$M$31</definedName>
    <definedName name="Print2">[173]Черновик!$A$32:$M$65</definedName>
    <definedName name="PRJ_DURATION">[140]Расчеты!$B$8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[140]Расчеты!$B$13</definedName>
    <definedName name="PROFIT_TAX">#REF!</definedName>
    <definedName name="Profit_tax_lessee">'[174]Selling data'!$E$7</definedName>
    <definedName name="PRZ">#REF!</definedName>
    <definedName name="PSBV">[63]Баланс95!#REF!</definedName>
    <definedName name="PSI">[63]Баланс95!#REF!</definedName>
    <definedName name="PSR">#REF!</definedName>
    <definedName name="PSV">[63]Баланс95!#REF!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'[174]Print Calc'!$E$23</definedName>
    <definedName name="PURPOSE">#REF!</definedName>
    <definedName name="PutHeader">[35]П!PutHeader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[175]разряд!$A$1:$B$53</definedName>
    <definedName name="rat">#REF!</definedName>
    <definedName name="rate">[176]Hotel!$D$9</definedName>
    <definedName name="rate_3">#REF!</definedName>
    <definedName name="Rate0">[158]Настройка!$B$15</definedName>
    <definedName name="Rate1">[158]Настройка!$B$16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[148]KEY!#REF!</definedName>
    <definedName name="report_date">[145]BaseTable!$F$1:$ES$1</definedName>
    <definedName name="rere" hidden="1">{"'Sheet1'!$A$1:$G$85"}</definedName>
    <definedName name="resid1">[177]Предпосылки!$B$85</definedName>
    <definedName name="resid2">[177]Предпосылки!$B$86</definedName>
    <definedName name="resid3">[177]Предпосылки!$B$87</definedName>
    <definedName name="Rest">#REF!</definedName>
    <definedName name="rethehtr">[0]!rethehtr</definedName>
    <definedName name="ReturnMain">[178]!ReturnMain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[63]Баланс95!#REF!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[139]Sensitivity!$I$17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[179]DropDownList!$G$1:$G$3</definedName>
    <definedName name="sfh">[179]DropDownList!$D$1:$D$5</definedName>
    <definedName name="sgdhj">[0]!sgdhj</definedName>
    <definedName name="SHARES_NUM">[140]Расчеты!$B$23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'[157]Dropdown list'!$E$2:$E$4</definedName>
    <definedName name="soft2" hidden="1">[19]опт!$A$8:$C$98</definedName>
    <definedName name="solver_adj" hidden="1">'[180]пр-во'!$X$11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'[180]пр-во'!$Z$14</definedName>
    <definedName name="solver_lhs2" hidden="1">'[180]пр-во'!$X$13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'[118]пр-во'!$AA$14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[181]Sheet2!$A$1:$A$15</definedName>
    <definedName name="summary2" hidden="1">{#N/A,#N/A,FALSE,"Aging Summary";#N/A,#N/A,FALSE,"Ratio Analysis";#N/A,#N/A,FALSE,"Test 120 Day Accts";#N/A,#N/A,FALSE,"Tickmarks"}</definedName>
    <definedName name="SVO">'[182]Стоим._стр-ва'!$C$6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[63]Баланс95!#REF!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[63]Баланс95!#REF!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[141]Library!$B$2:$B$21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[148]KEY!#REF!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'[118]пр-во'!$Y$14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[177]Предпосылки!$E$123</definedName>
    <definedName name="VAT_REPAY">[140]Расчеты!$B$21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[183]трансформация1!#REF!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[183]трансформация1!#REF!</definedName>
    <definedName name="XRefCopy2Row" hidden="1">#REF!</definedName>
    <definedName name="XRefCopy3" hidden="1">[183]трансформация1!#REF!</definedName>
    <definedName name="XRefCopy3Row" hidden="1">#REF!</definedName>
    <definedName name="XRefCopyRangeCount" hidden="1">1</definedName>
    <definedName name="XRefPaste1" hidden="1">[183]трансформация1!#REF!</definedName>
    <definedName name="XRefPaste1Row" hidden="1">#REF!</definedName>
    <definedName name="XRefPaste2" hidden="1">[183]трансформация1!#REF!</definedName>
    <definedName name="XRefPaste2Row" hidden="1">#REF!</definedName>
    <definedName name="XRefPaste3" hidden="1">[183]трансформация1!#REF!</definedName>
    <definedName name="XRefPaste3Row" hidden="1">#REF!</definedName>
    <definedName name="XRefPaste4" hidden="1">[183]трансформация1!#REF!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[184]константы!$C$7</definedName>
    <definedName name="yas" hidden="1">#REF!</definedName>
    <definedName name="yasin" hidden="1">#REF!</definedName>
    <definedName name="Years">[164]Reference!$G$91:$G$108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'[185]ECONOMIC DATA'!$D$1:$F$65536,'[185]ECONOMIC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'[185]TRAFFIC CALC'!$D$1:$F$65536,'[185]TRAFFIC CALC'!#REF!</definedName>
    <definedName name="Z_0595F048_10C1_11D1_BBF1_0020AF29375F_.wvu.Cols" hidden="1">'[185]TRAFFIC PARM'!$D$1:$F$65536,'[185]TRAFFIC PARM'!#REF!</definedName>
    <definedName name="Z_0595F050_10C1_11D1_BBF1_0020AF29375F_.wvu.Cols" hidden="1">'[185]ECONOMIC DATA'!$A$1:$C$65536,'[185]ECONOMIC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'[185]TRAFFIC CALC'!$A$1:$C$65536,'[185]TRAFFIC CALC'!#REF!</definedName>
    <definedName name="Z_0595F060_10C1_11D1_BBF1_0020AF29375F_.wvu.Cols" hidden="1">'[185]TRAFFIC PARM'!$A$1:$C$65536,'[185]TRAFFIC PARM'!#REF!</definedName>
    <definedName name="Z_195152F2_E1B3_11D0_BBF1_0020AF29375F_.wvu.Cols" hidden="1">'[185]ECONOMIC DATA'!$D$1:$F$65536,'[185]ECONOMIC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'[185]TRAFFIC CALC'!$D$1:$F$65536,'[185]TRAFFIC CALC'!#REF!</definedName>
    <definedName name="Z_19515302_E1B3_11D0_BBF1_0020AF29375F_.wvu.Cols" hidden="1">'[185]TRAFFIC PARM'!$D$1:$F$65536,'[185]TRAFFIC PARM'!#REF!</definedName>
    <definedName name="Z_1951530A_E1B3_11D0_BBF1_0020AF29375F_.wvu.Cols" hidden="1">'[185]ECONOMIC DATA'!$A$1:$C$65536,'[185]ECONOMIC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'[185]TRAFFIC CALC'!$A$1:$C$65536,'[185]TRAFFIC CALC'!#REF!</definedName>
    <definedName name="Z_1951531A_E1B3_11D0_BBF1_0020AF29375F_.wvu.Cols" hidden="1">'[185]TRAFFIC PARM'!$A$1:$C$65536,'[185]TRAFFIC PARM'!#REF!</definedName>
    <definedName name="Z_1C3AD0CD_BF0C_4C4E_9071_158A2F5215E2_.wvu.Rows" hidden="1">#REF!,#REF!,#REF!</definedName>
    <definedName name="Z_2185FC51_7502_43A8_900A_0000B7F738F9_.wvu.Rows" hidden="1">[186]Forecast!$A$26:$IV$29,[186]Forecast!$A$35:$IV$36,[186]Forecast!$A$52:$IV$52,[186]Forecast!$A$56:$IV$60,[186]Forecast!$A$93:$IV$95,[186]Forecast!$A$106:$IV$114,[186]Forecast!$A$119:$IV$120,[186]Forecast!$A$123:$IV$124,[186]Forecast!$A$189:$IV$189,[186]Forecast!$A$254:$IV$254,[186]Forecast!$A$258:$IV$267,[186]Forecast!$A$270:$IV$271,[186]Forecast!$A$273:$IV$313,[186]Forecast!$A$317:$IV$318,[186]Forecast!$A$322:$IV$327,[186]Forecast!$A$339:$IV$339</definedName>
    <definedName name="Z_26901781_AE15_11D3_8896_00C0DFEF98F1_.wvu.PrintArea" hidden="1">'[180]Свод-1'!$A:$IV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[187]Лист2!#REF!</definedName>
    <definedName name="Z_6EE4AFEA_8A42_11D0_BBF1_0020AF29375F_.wvu.Cols" hidden="1">'[185]ECONOMIC DATA'!$D$1:$F$65536,'[185]ECONOMIC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'[185]TRAFFIC CALC'!$D$1:$F$65536,'[185]TRAFFIC CALC'!#REF!</definedName>
    <definedName name="Z_6EE4AFFA_8A42_11D0_BBF1_0020AF29375F_.wvu.Cols" hidden="1">'[185]TRAFFIC PARM'!$D$1:$F$65536,'[185]TRAFFIC PARM'!#REF!</definedName>
    <definedName name="Z_6EE4B002_8A42_11D0_BBF1_0020AF29375F_.wvu.Cols" hidden="1">'[185]ECONOMIC DATA'!$A$1:$C$65536,'[185]ECONOMIC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'[185]TRAFFIC CALC'!$A$1:$C$65536,'[185]TRAFFIC CALC'!#REF!</definedName>
    <definedName name="Z_6EE4B012_8A42_11D0_BBF1_0020AF29375F_.wvu.Cols" hidden="1">'[185]TRAFFIC PARM'!$A$1:$C$65536,'[185]TRAFFIC PARM'!#REF!</definedName>
    <definedName name="Z_8730C1A1_E63D_11D4_8D95_0050BA8310F8_.wvu.Cols" hidden="1">#REF!</definedName>
    <definedName name="Z_9208C872_C6DF_11D0_B623_0020AF49B783_.wvu.Cols" hidden="1">'[185]ECONOMIC DATA'!$D$1:$F$65536,'[185]ECONOMIC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'[185]TRAFFIC CALC'!$D$1:$F$65536,'[185]TRAFFIC CALC'!#REF!</definedName>
    <definedName name="Z_9208C882_C6DF_11D0_B623_0020AF49B783_.wvu.Cols" hidden="1">'[185]TRAFFIC PARM'!$D$1:$F$65536,'[185]TRAFFIC PARM'!#REF!</definedName>
    <definedName name="Z_9208C88A_C6DF_11D0_B623_0020AF49B783_.wvu.Cols" hidden="1">'[185]ECONOMIC DATA'!$A$1:$C$65536,'[185]ECONOMIC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'[185]TRAFFIC CALC'!$A$1:$C$65536,'[185]TRAFFIC CALC'!#REF!</definedName>
    <definedName name="Z_9208C89A_C6DF_11D0_B623_0020AF49B783_.wvu.Cols" hidden="1">'[185]TRAFFIC PARM'!$A$1:$C$65536,'[185]TRAFFIC PARM'!#REF!</definedName>
    <definedName name="Z_92F7E099_0E3C_11D1_BBF1_0020AF29375F_.wvu.Cols" hidden="1">'[185]ECONOMIC DATA'!$D$1:$F$65536,'[185]ECONOMIC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'[185]TRAFFIC CALC'!$D$1:$F$65536,'[185]TRAFFIC CALC'!#REF!</definedName>
    <definedName name="Z_92F7E0A9_0E3C_11D1_BBF1_0020AF29375F_.wvu.Cols" hidden="1">'[185]TRAFFIC PARM'!$D$1:$F$65536,'[185]TRAFFIC PARM'!#REF!</definedName>
    <definedName name="Z_92F7E0B1_0E3C_11D1_BBF1_0020AF29375F_.wvu.Cols" hidden="1">'[185]ECONOMIC DATA'!$A$1:$C$65536,'[185]ECONOMIC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'[185]TRAFFIC CALC'!$A$1:$C$65536,'[185]TRAFFIC CALC'!#REF!</definedName>
    <definedName name="Z_92F7E0C1_0E3C_11D1_BBF1_0020AF29375F_.wvu.Cols" hidden="1">'[185]TRAFFIC PARM'!$A$1:$C$65536,'[185]TRAFFIC PARM'!#REF!</definedName>
    <definedName name="Z_94CB185F_509A_11D3_B82B_00E09800249C_.wvu.Rows" hidden="1">[188]Продажи!$A$5:$IV$5,[188]Продажи!$A$18:$IV$18</definedName>
    <definedName name="Z_9673D06C_8E2D_4E41_BE89_13756C9C3BAE_.wvu.PrintArea" hidden="1">#REF!</definedName>
    <definedName name="Z_96AA1B52_E178_11D0_BBF1_0020AF29375F_.wvu.Cols" hidden="1">'[185]ECONOMIC DATA'!$D$1:$F$65536,'[185]ECONOMIC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'[185]TRAFFIC CALC'!$D$1:$F$65536,'[185]TRAFFIC CALC'!#REF!</definedName>
    <definedName name="Z_96AA1B62_E178_11D0_BBF1_0020AF29375F_.wvu.Cols" hidden="1">'[185]TRAFFIC PARM'!$D$1:$F$65536,'[185]TRAFFIC PARM'!#REF!</definedName>
    <definedName name="Z_96AA1B6A_E178_11D0_BBF1_0020AF29375F_.wvu.Cols" hidden="1">'[185]ECONOMIC DATA'!$A$1:$C$65536,'[185]ECONOMIC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'[185]TRAFFIC CALC'!$A$1:$C$65536,'[185]TRAFFIC CALC'!#REF!</definedName>
    <definedName name="Z_96AA1B7A_E178_11D0_BBF1_0020AF29375F_.wvu.Cols" hidden="1">'[185]TRAFFIC PARM'!$A$1:$C$65536,'[185]TRAFFIC PARM'!#REF!</definedName>
    <definedName name="Z_99D15F62_90C4_405A_985F_7C185F19F985_.wvu.Rows" hidden="1">[186]Forecast!$A$26:$IV$29,[186]Forecast!$A$35:$IV$36,[186]Forecast!$A$52:$IV$52,[186]Forecast!$A$56:$IV$60,[186]Forecast!$A$93:$IV$95,[186]Forecast!$A$106:$IV$114,[186]Forecast!$A$119:$IV$120,[186]Forecast!$A$123:$IV$124,[186]Forecast!$A$189:$IV$189,[186]Forecast!$A$254:$IV$254,[186]Forecast!$A$258:$IV$267,[186]Forecast!$A$270:$IV$271,[186]Forecast!$A$273:$IV$313,[186]Forecast!$A$317:$IV$318,[186]Forecast!$A$322:$IV$327,[186]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'[185]ECONOMIC DATA'!$D$1:$F$65536,'[185]ECONOMIC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'[185]TRAFFIC CALC'!$D$1:$F$65536,'[185]TRAFFIC CALC'!#REF!</definedName>
    <definedName name="Z_AD1AC27D_B0C2_11D0_BBF1_0020AF29375F_.wvu.Cols" hidden="1">'[185]TRAFFIC PARM'!$D$1:$F$65536,'[185]TRAFFIC PARM'!#REF!</definedName>
    <definedName name="Z_AD1AC285_B0C2_11D0_BBF1_0020AF29375F_.wvu.Cols" hidden="1">'[185]ECONOMIC DATA'!$A$1:$C$65536,'[185]ECONOMIC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'[185]TRAFFIC CALC'!$A$1:$C$65536,'[185]TRAFFIC CALC'!#REF!</definedName>
    <definedName name="Z_AD1AC295_B0C2_11D0_BBF1_0020AF29375F_.wvu.Cols" hidden="1">'[185]TRAFFIC PARM'!$A$1:$C$65536,'[185]TRAFFIC PARM'!#REF!</definedName>
    <definedName name="Z_BA328375_936C_11D3_9E74_00062992D5D9_.wvu.Rows" hidden="1">[188]Продажи!$A$5:$IV$5,[188]Продажи!$A$18:$IV$18</definedName>
    <definedName name="Z_C0A63332_F77B_11D0_B623_0020AF49B783_.wvu.Cols" hidden="1">'[185]ECONOMIC DATA'!$D$1:$F$65536,'[185]ECONOMIC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'[185]TRAFFIC CALC'!$D$1:$F$65536,'[185]TRAFFIC CALC'!#REF!</definedName>
    <definedName name="Z_C0A63342_F77B_11D0_B623_0020AF49B783_.wvu.Cols" hidden="1">'[185]TRAFFIC PARM'!$D$1:$F$65536,'[185]TRAFFIC PARM'!#REF!</definedName>
    <definedName name="Z_C0A6334A_F77B_11D0_B623_0020AF49B783_.wvu.Cols" hidden="1">'[185]ECONOMIC DATA'!$A$1:$C$65536,'[185]ECONOMIC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'[185]TRAFFIC CALC'!$A$1:$C$65536,'[185]TRAFFIC CALC'!#REF!</definedName>
    <definedName name="Z_C0A6335A_F77B_11D0_B623_0020AF49B783_.wvu.Cols" hidden="1">'[185]TRAFFIC PARM'!$A$1:$C$65536,'[185]TRAFFIC PARM'!#REF!</definedName>
    <definedName name="Z_CB1D7872_F78D_11D0_B623_0020AF49B783_.wvu.Cols" hidden="1">'[185]ECONOMIC DATA'!$D$1:$F$65536,'[185]ECONOMIC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'[185]TRAFFIC CALC'!$D$1:$F$65536,'[185]TRAFFIC CALC'!#REF!</definedName>
    <definedName name="Z_CB1D7882_F78D_11D0_B623_0020AF49B783_.wvu.Cols" hidden="1">'[185]TRAFFIC PARM'!$D$1:$F$65536,'[185]TRAFFIC PARM'!#REF!</definedName>
    <definedName name="Z_CB1D788A_F78D_11D0_B623_0020AF49B783_.wvu.Cols" hidden="1">'[185]ECONOMIC DATA'!$A$1:$C$65536,'[185]ECONOMIC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'[185]TRAFFIC CALC'!$A$1:$C$65536,'[185]TRAFFIC CALC'!#REF!</definedName>
    <definedName name="Z_CB1D789A_F78D_11D0_B623_0020AF49B783_.wvu.Cols" hidden="1">'[185]TRAFFIC PARM'!$A$1:$C$65536,'[185]TRAFFIC PARM'!#REF!</definedName>
    <definedName name="Z_CB1D7A38_F78D_11D0_B623_0020AF49B783_.wvu.Cols" hidden="1">'[185]ECONOMIC DATA'!$D$1:$F$65536,'[185]ECONOMIC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'[185]TRAFFIC CALC'!$D$1:$F$65536,'[185]TRAFFIC CALC'!#REF!</definedName>
    <definedName name="Z_CB1D7A48_F78D_11D0_B623_0020AF49B783_.wvu.Cols" hidden="1">'[185]TRAFFIC PARM'!$D$1:$F$65536,'[185]TRAFFIC PARM'!#REF!</definedName>
    <definedName name="Z_CB1D7A50_F78D_11D0_B623_0020AF49B783_.wvu.Cols" hidden="1">'[185]ECONOMIC DATA'!$A$1:$C$65536,'[185]ECONOMIC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'[185]TRAFFIC CALC'!$A$1:$C$65536,'[185]TRAFFIC CALC'!#REF!</definedName>
    <definedName name="Z_CB1D7A60_F78D_11D0_B623_0020AF49B783_.wvu.Cols" hidden="1">'[185]TRAFFIC PARM'!$A$1:$C$65536,'[185]TRAFFIC PARM'!#REF!</definedName>
    <definedName name="Z_CB8A7D86_8A72_11D0_BBF1_0020AF29375F_.wvu.Cols" hidden="1">'[185]ECONOMIC DATA'!$D$1:$F$65536,'[185]ECONOMIC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'[185]TRAFFIC CALC'!$D$1:$F$65536,'[185]TRAFFIC CALC'!#REF!</definedName>
    <definedName name="Z_CB8A7D96_8A72_11D0_BBF1_0020AF29375F_.wvu.Cols" hidden="1">'[185]TRAFFIC PARM'!$D$1:$F$65536,'[185]TRAFFIC PARM'!#REF!</definedName>
    <definedName name="Z_CB8A7D9E_8A72_11D0_BBF1_0020AF29375F_.wvu.Cols" hidden="1">'[185]ECONOMIC DATA'!$A$1:$C$65536,'[185]ECONOMIC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'[185]TRAFFIC CALC'!$A$1:$C$65536,'[185]TRAFFIC CALC'!#REF!</definedName>
    <definedName name="Z_CB8A7DAE_8A72_11D0_BBF1_0020AF29375F_.wvu.Cols" hidden="1">'[185]TRAFFIC PARM'!$A$1:$C$65536,'[185]TRAFFIC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'[185]ECONOMIC DATA'!$D$1:$F$65536,'[185]ECONOMIC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'[185]TRAFFIC CALC'!$D$1:$F$65536,'[185]TRAFFIC CALC'!#REF!</definedName>
    <definedName name="Z_D2C4351A_8B21_11D0_BBF1_0020AF29375F_.wvu.Cols" hidden="1">'[185]TRAFFIC PARM'!$D$1:$F$65536,'[185]TRAFFIC PARM'!#REF!</definedName>
    <definedName name="Z_D2C43522_8B21_11D0_BBF1_0020AF29375F_.wvu.Cols" hidden="1">'[185]ECONOMIC DATA'!$A$1:$C$65536,'[185]ECONOMIC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'[185]TRAFFIC CALC'!$A$1:$C$65536,'[185]TRAFFIC CALC'!#REF!</definedName>
    <definedName name="Z_D2C43532_8B21_11D0_BBF1_0020AF29375F_.wvu.Cols" hidden="1">'[185]TRAFFIC PARM'!$A$1:$C$65536,'[185]TRAFFIC PARM'!#REF!</definedName>
    <definedName name="Z_DF5C41E4_E0D7_11D0_BBF1_0020AF29375F_.wvu.Cols" hidden="1">'[185]ECONOMIC DATA'!$D$1:$F$65536,'[185]ECONOMIC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'[185]TRAFFIC CALC'!$D$1:$F$65536,'[185]TRAFFIC CALC'!#REF!</definedName>
    <definedName name="Z_DF5C41F4_E0D7_11D0_BBF1_0020AF29375F_.wvu.Cols" hidden="1">'[185]TRAFFIC PARM'!$D$1:$F$65536,'[185]TRAFFIC PARM'!#REF!</definedName>
    <definedName name="Z_DF5C41FC_E0D7_11D0_BBF1_0020AF29375F_.wvu.Cols" hidden="1">'[185]ECONOMIC DATA'!$A$1:$C$65536,'[185]ECONOMIC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'[185]TRAFFIC CALC'!$A$1:$C$65536,'[185]TRAFFIC CALC'!#REF!</definedName>
    <definedName name="Z_DF5C420C_E0D7_11D0_BBF1_0020AF29375F_.wvu.Cols" hidden="1">'[185]TRAFFIC PARM'!$A$1:$C$65536,'[185]TRAFFIC PARM'!#REF!</definedName>
    <definedName name="Z_DF9ECF1C_04DF_11D1_B623_0020AF49B783_.wvu.Cols" hidden="1">'[185]ECONOMIC DATA'!$D$1:$F$65536,'[185]ECONOMIC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'[185]TRAFFIC CALC'!$D$1:$F$65536,'[185]TRAFFIC CALC'!#REF!</definedName>
    <definedName name="Z_DF9ECF2C_04DF_11D1_B623_0020AF49B783_.wvu.Cols" hidden="1">'[185]TRAFFIC PARM'!$D$1:$F$65536,'[185]TRAFFIC PARM'!#REF!</definedName>
    <definedName name="Z_DF9ECF34_04DF_11D1_B623_0020AF49B783_.wvu.Cols" hidden="1">'[185]ECONOMIC DATA'!$A$1:$C$65536,'[185]ECONOMIC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'[185]TRAFFIC CALC'!$A$1:$C$65536,'[185]TRAFFIC CALC'!#REF!</definedName>
    <definedName name="Z_DF9ECF44_04DF_11D1_B623_0020AF49B783_.wvu.Cols" hidden="1">'[185]TRAFFIC PARM'!$A$1:$C$65536,'[185]TRAFFIC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[21]Титул!$A$1</definedName>
    <definedName name="А3">#REF!</definedName>
    <definedName name="а5">[21]Ф5!$A$1</definedName>
    <definedName name="а6">[21]Ф6!$A$1</definedName>
    <definedName name="аL159">#REF!</definedName>
    <definedName name="аа">[22]Характеристика!$E$3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[23]MAIN!#REF!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'[24]Сводная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'[25]1'!$K$1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[26]СВОДНАЯ!$B$11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'[27]исход-итог'!$C$2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'[28]Метод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[29]НФИк!$A$17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'[30]касса-казань-декабрь'!$A$1:$I$24</definedName>
    <definedName name="База_Сортировки">#REF!</definedName>
    <definedName name="байк.руб.">'[31]Гр+'!#REF!</definedName>
    <definedName name="байк.у.е.">'[31]Гр+'!#REF!</definedName>
    <definedName name="бакс">[32]Характеристика!$D$2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[33]ЛитБ!$G$351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'[34]см. ЦЕНЫ '!$B$143</definedName>
    <definedName name="бл">[35]П!#REF!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'[31]Гр+'!#REF!</definedName>
    <definedName name="бог.у.е.">'[31]Гр+'!#REF!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'[36]матер.(октябрь)'!#REF!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[37]Здания!$B$7:$B$13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'[38]расш доходов'!$B$13:$B$24</definedName>
    <definedName name="вид_имущества">[38]расш_ББ_1!$B$15:$B$26</definedName>
    <definedName name="вид_расхода">'[38]расш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[39]Исходник!$S$4:$S$6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[23]MAIN!#REF!</definedName>
    <definedName name="впавпас" hidden="1">[23]MAIN!#REF!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[40]благоустр.!#REF!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'[31]Гр+'!#REF!</definedName>
    <definedName name="встр.пр.од.у.е.">'[31]Гр+'!#REF!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'[34]см. ЦЕНЫ '!$B$251</definedName>
    <definedName name="вт">#REF!</definedName>
    <definedName name="втам">#REF!</definedName>
    <definedName name="ВторРазмОфКонв">[41]Параметры!#REF!</definedName>
    <definedName name="ВторРазмФинОф">[41]Параметры!#REF!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[42]DCF!$R$69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[43]Служебный!$B$1:$B$2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'[36]матер.(октябрь)'!#REF!</definedName>
    <definedName name="Выплат">#REF!</definedName>
    <definedName name="выплат1">[44]Кредит!$D$6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'[31]Гр+'!#REF!</definedName>
    <definedName name="гакк.у.е.">'[31]Гр+'!#REF!</definedName>
    <definedName name="ганкшнгшн">[0]!ганкшнгшн</definedName>
    <definedName name="гг">[45]восст!$B$1:$J$65536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'[36]матер.(октябрь)'!#REF!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[46]свед!$B$2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'[31]Гр+'!#REF!</definedName>
    <definedName name="гр.у.е.">'[31]Гр+'!#REF!</definedName>
    <definedName name="граф2" hidden="1">[47]T1!#REF!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[48]Лист1!$B$41</definedName>
    <definedName name="гро0">[0]!гро0</definedName>
    <definedName name="группировка_Балитэкс">OFFSET([49]справочники!$A$100,0,0, COUNTA([49]справочники!$A$100:$A$110),2)</definedName>
    <definedName name="группировка_ГПБИ">OFFSET([49]справочники!$A$83,0,0, COUNTA([49]справочники!$A$83:$A$98),2)</definedName>
    <definedName name="группировка_Лиона">OFFSET([49]справочники!$A$73,0,0, COUNTA([49]справочники!$A$73:$A$81),2)</definedName>
    <definedName name="группировка_статей">OFFSET([49]справочники!$A$3,0,0, COUNTA([49]справочники!$A$3:$A$39),2)</definedName>
    <definedName name="группировка_Харкона">OFFSET([49]справочники!$A$40,0,0, COUNTA([49]справочники!$A$40:$A$73),2)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[37]Доходный!$B$1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[21]Титул!$I$7</definedName>
    <definedName name="дата_оцен">[50]Служебный!$B$7</definedName>
    <definedName name="Дата_оценки">#REF!</definedName>
    <definedName name="дата_файла">[4]Лист1!#REF!</definedName>
    <definedName name="датаоценки">'[51]Все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'[34]см.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[52]износ!$A$1:$D$65536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[53]свед!$B$14</definedName>
    <definedName name="дло" hidden="1">{"'Prices'!$A$4:$J$27"}</definedName>
    <definedName name="длор">#REF!</definedName>
    <definedName name="длр">#REF!</definedName>
    <definedName name="дм">[54]Словари!$B$4:$B$16</definedName>
    <definedName name="дни">[55]нормы!$G$3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'[31]Гр+'!#REF!</definedName>
    <definedName name="долг.ст.б.">#REF!</definedName>
    <definedName name="долг.у.е.">'[31]Гр+'!#REF!</definedName>
    <definedName name="долгвстр">'[56]каскад,5'!#REF!</definedName>
    <definedName name="долгвстрмфтц">'[56]каскад,5'!#REF!</definedName>
    <definedName name="долгкв">'[56]каскад,5'!#REF!</definedName>
    <definedName name="долгквмфтц">'[56]каскад,5'!#REF!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'[57]исход-итог'!$C$2</definedName>
    <definedName name="долл1">'[58]общие сведения'!$B$7</definedName>
    <definedName name="Доллар">[59]Исходные!$B$12</definedName>
    <definedName name="Доллар_доход">'[60]Плановые курсы валют'!$B$2</definedName>
    <definedName name="Доллар_расход">'[60]Плановые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[41]Параметры!$B$14</definedName>
    <definedName name="ДоляНДС">#N/A</definedName>
    <definedName name="ДоляОферты">#REF!</definedName>
    <definedName name="ДоляПродаваемая">[41]Параметры!$B$13</definedName>
    <definedName name="дом">'[61]рын счит'!$B$3:$B$3</definedName>
    <definedName name="домЛучко">'[58]Метод остатка'!#REF!</definedName>
    <definedName name="доп">'[62]исходные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[62]списки!$E$47</definedName>
    <definedName name="дор">[53]свед!$B$14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[52]восст!$O$3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'[60]Плановые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[63]Баланс95!#REF!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[64]Титул!$E$29:$E$31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[23]MAIN!#REF!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'[65]Метод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'[34]см.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[66]Concept!#REF!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'[67]Оплата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'[55]общие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'[68]Метод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[69]НФИк!$A$17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[29]НФИк!$A$17</definedName>
    <definedName name="ЗУ_Фаэтон">[70]НФИк!$A$17</definedName>
    <definedName name="зх">'[28]Метод остатка'!#REF!</definedName>
    <definedName name="зхщ">'[28]Метод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'[71]Машины и оборудование'!$E$56</definedName>
    <definedName name="И_Ср_Пр">'[71]Машины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'[31]Гр+'!#REF!</definedName>
    <definedName name="ильюш.у.е.">'[31]Гр+'!#REF!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[62]списки!$E$2</definedName>
    <definedName name="Имя">[72]НФИк!$A$17</definedName>
    <definedName name="ИНач">#REF!</definedName>
    <definedName name="ИНВЕСИ">[35]П!#REF!</definedName>
    <definedName name="иНВЕСТ">[35]П!#REF!</definedName>
    <definedName name="ИнвестСвод">[73]ИнвестицииСвод!#REF!</definedName>
    <definedName name="инд">[72]график01.09.02!$D$3</definedName>
    <definedName name="Инд_цп_2000">#REF!</definedName>
    <definedName name="индекс">[21]Титул!$R$16</definedName>
    <definedName name="Индекс_композит">#REF!</definedName>
    <definedName name="Индекс_Пересчета">'[71]Здан-затр'!$C$83</definedName>
    <definedName name="Индекс_перехода">#REF!</definedName>
    <definedName name="Индекс_стоимости">[74]Служебный!$J$18</definedName>
    <definedName name="Индекс_цп">#REF!</definedName>
    <definedName name="Индексация">'[75]ЗП (Индексация)'!$A$3:$AM$356</definedName>
    <definedName name="ИНЕРТНЫЕ_СЫПУЧКА">'[34]см. ЦЕНЫ '!$B$160</definedName>
    <definedName name="Инт">[4]Лист1!#REF!</definedName>
    <definedName name="Инфл">#REF!</definedName>
    <definedName name="Инфраструктура_Infrastructure">[76]Inputs_Assumptions!$G$26</definedName>
    <definedName name="иОз">[4]Лист1!$U$39</definedName>
    <definedName name="иОм">[4]Лист1!$U$10</definedName>
    <definedName name="иОс">[4]Лист1!$U$14</definedName>
    <definedName name="Ира">[70]НФИк!$A$17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[77]Исходник!$A$2:$J$99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[78]АБ!#REF!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[79]Контрагенты!$C$6:$C$22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[80]Трансформаторн!$F$8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OFFSET([81]справочники!$A$83,0,0, COUNTA([81]справочники!$A$83:$A$98),1)</definedName>
    <definedName name="йййййййй" hidden="1">{#N/A,#N/A,TRUE,"Буржуям"}</definedName>
    <definedName name="ййууу" hidden="1">[23]MAIN!#REF!</definedName>
    <definedName name="ййцуйц">OFFSET([81]справочники!$A$83,0,0, COUNTA([81]справочники!$A$83:$A$98),1)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'[31]Гр+'!#REF!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[35]П!$C$136</definedName>
    <definedName name="К1_К">#REF!</definedName>
    <definedName name="К1_К_upper">#REF!</definedName>
    <definedName name="к25.руб.">'[31]Гр+'!#REF!</definedName>
    <definedName name="к25с.руб.">'[31]Гр+'!#REF!</definedName>
    <definedName name="к25с.у.е.">'[31]Гр+'!#REF!</definedName>
    <definedName name="к26.руб.">'[31]Гр+'!#REF!</definedName>
    <definedName name="к26.у.е.">'[31]Гр+'!#REF!</definedName>
    <definedName name="к26с.руб.">'[31]Гр+'!#REF!</definedName>
    <definedName name="к26с.у.е.">'[31]Гр+'!#REF!</definedName>
    <definedName name="к4">[35]П!$C$139</definedName>
    <definedName name="к4.руб.">'[24]Сводная ЛССМУ'!#REF!</definedName>
    <definedName name="к4.у.е.">'[24]Сводная ЛССМУ'!#REF!</definedName>
    <definedName name="к5.руб.">'[31]Гр+'!#REF!</definedName>
    <definedName name="к5.у.е.">'[31]Гр+'!#REF!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[40]благоустр.!#REF!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[82]Кредит!$D$6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'[83]Share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'[65]Метод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'[28]Метод остатка'!#REF!</definedName>
    <definedName name="КИТ">'[84]Оплата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[23]MAIN!#REF!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'[38]расш доходов'!$C$13:$C$16</definedName>
    <definedName name="код_статьи_имущество">[38]расш_ББ_1!$C$15:$C$18</definedName>
    <definedName name="код_статьи_р">'[38]расш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'[65]Метод остатка'!#REF!</definedName>
    <definedName name="Количество_торговых_мест">'[28]Метод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[85]Лист4!#REF!</definedName>
    <definedName name="ком.руб.">[85]Лист4!#REF!</definedName>
    <definedName name="ком.у.е.">[85]Лист4!#REF!</definedName>
    <definedName name="Комиссия">[86]Параметры!$B$22</definedName>
    <definedName name="Комиссия_тек">[4]Лист1!$K$204</definedName>
    <definedName name="коммар">[66]Concept!#REF!</definedName>
    <definedName name="коммпр">[66]Concept!#REF!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'[87]Прогноз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OFFSET([88]Лист2!$F$500,0,0,COUNTA([88]Лист2!$F$500:$F$500),1)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'[53]общие сведения'!$B$14</definedName>
    <definedName name="кор_ка">[4]Лист1!$V$234</definedName>
    <definedName name="корм_петухи">[55]нормы!#REF!</definedName>
    <definedName name="корн">[4]Лист1!$Z$89</definedName>
    <definedName name="короба">#REF!</definedName>
    <definedName name="КОРОБКА_РАСПАЯЧ">'[36]матер.(октябрь)'!#REF!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'[65]Метод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'[62]исходные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'[34]см.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'[89]Оплата по графикам'!$B$137</definedName>
    <definedName name="КредитГраждБ">[90]Параметры!$B$24</definedName>
    <definedName name="КредитПетр">[91]Параметры!$B$24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'[34]см. ЦЕНЫ '!#REF!</definedName>
    <definedName name="КРОВЛЯ_МЕТ.ЧЕРЕП">'[34]см.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'[92]общие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'[31]Гр+'!#REF!</definedName>
    <definedName name="курс.гак.">'[31]Гр+'!#REF!</definedName>
    <definedName name="курс.сер1оч.">'[31]Гр+'!#REF!</definedName>
    <definedName name="Курс_долл">'[93]Исх дан'!$B$2</definedName>
    <definedName name="Курс_доллара">[94]Исход.инф.!$B$4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'[31]Гр+'!#REF!</definedName>
    <definedName name="курсбайк">'[31]Гр+'!#REF!</definedName>
    <definedName name="курсбог">'[31]Гр+'!#REF!</definedName>
    <definedName name="курсгр">'[31]Гр+'!#REF!</definedName>
    <definedName name="курсдолг.">'[31]Гр+'!#REF!</definedName>
    <definedName name="Курсдолл">'[93]Исх дан'!#REF!</definedName>
    <definedName name="курсил">'[31]Гр+'!#REF!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'[31]Гр+'!#REF!</definedName>
    <definedName name="курск26">'[31]Гр+'!#REF!</definedName>
    <definedName name="курск26с">'[31]Гр+'!#REF!</definedName>
    <definedName name="курск4">'[24]Сводная ЛССМУ'!#REF!</definedName>
    <definedName name="курск5">'[31]Гр+'!#REF!</definedName>
    <definedName name="курсланск">'[31]Гр+'!#REF!</definedName>
    <definedName name="курсланск.с.">'[31]Гр+'!#REF!</definedName>
    <definedName name="курсн.г.">'[31]Гр+'!#REF!</definedName>
    <definedName name="КурсПериода">#REF!</definedName>
    <definedName name="курспрв">'[31]Гр+'!#REF!</definedName>
    <definedName name="КурсР1">[4]Лист1!#REF!</definedName>
    <definedName name="курссер.21.">'[31]Гр+'!#REF!</definedName>
    <definedName name="курссер.2оч.">'[31]Гр+'!#REF!</definedName>
    <definedName name="курст3">'[31]Гр+'!#REF!</definedName>
    <definedName name="курстс">'[31]Гр+'!#REF!</definedName>
    <definedName name="курсф1">'[31]Гр+'!#REF!</definedName>
    <definedName name="курсф1с">'[31]Гр+'!#REF!</definedName>
    <definedName name="курсф2">'[31]Гр+'!#REF!</definedName>
    <definedName name="курсф2с">'[31]Гр+'!#REF!</definedName>
    <definedName name="курсф3А">'[31]Гр+'!#REF!</definedName>
    <definedName name="курсф3Ас">'[31]Гр+'!#REF!</definedName>
    <definedName name="курсф4">'[24]Сводная ЛССМУ'!#REF!</definedName>
    <definedName name="курсф4с">'[24]Сводная ЛССМУ'!#REF!</definedName>
    <definedName name="курсф5">'[24]Сводная ЛССМУ'!#REF!</definedName>
    <definedName name="курсфок">'[31]Гр+'!#REF!</definedName>
    <definedName name="курсЦБ">#REF!</definedName>
    <definedName name="курсш.о.">'[31]Гр+'!#REF!</definedName>
    <definedName name="курсы">OFFSET([49]КУРС!$A$1,0,0, COUNTA([49]КУРС!$A$1:$A$3000),3)</definedName>
    <definedName name="курсэнг1">'[31]Гр+'!#REF!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'[31]Гр+'!#REF!</definedName>
    <definedName name="ланск.с.руб.">'[31]Гр+'!#REF!</definedName>
    <definedName name="ланск.с.у.е.">'[31]Гр+'!#REF!</definedName>
    <definedName name="ланск.у.е.">'[31]Гр+'!#REF!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'[34]см.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'[95]1 -фундам Н.4'!#REF!</definedName>
    <definedName name="лждл">[4]Лист1!$N$3</definedName>
    <definedName name="лизинг">[4]MACRO!$F$25</definedName>
    <definedName name="Лизинг_миксеров">'[89]Оплата по графикам'!$B$108</definedName>
    <definedName name="Лизинг_телеком">'[89]Оплата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[96]восст!$B$1:$J$65536</definedName>
    <definedName name="лолол" hidden="1">{"glc1",#N/A,FALSE,"GLC";"glc2",#N/A,FALSE,"GLC";"glc3",#N/A,FALSE,"GLC";"glc4",#N/A,FALSE,"GLC";"glc5",#N/A,FALSE,"GLC"}</definedName>
    <definedName name="лолололо">[97]Описание!$C$3:$AW$32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'[62]исходные данные'!$I$14</definedName>
    <definedName name="Лсв_02">[4]Лист1!#REF!</definedName>
    <definedName name="ЛССМУ">'[56]каскад,5'!#REF!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'[36]матер.(октябрь)'!#REF!</definedName>
    <definedName name="Люда">[80]Трансформаторн!$F$8</definedName>
    <definedName name="Люзя" hidden="1">{#N/A,#N/A,TRUE,"Буржуям"}</definedName>
    <definedName name="ля">[98]Износ!$A$3:$T$92</definedName>
    <definedName name="Лямбда">#N/A</definedName>
    <definedName name="м">[99]Исход.инф.!$C$8</definedName>
    <definedName name="М.ПРОКАТ">'[34]см. ЦЕНЫ '!#REF!</definedName>
    <definedName name="М_КАРКАСЫ">'[34]см.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'[79]Параметры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'[34]см.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[100]НФИк!$A$17</definedName>
    <definedName name="моро1">[69]НФИк!$A$17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'[36]матер.(октябрь)'!#REF!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'[31]Гр+'!#REF!</definedName>
    <definedName name="н.г.у.е.">'[31]Гр+'!#REF!</definedName>
    <definedName name="н.форма" hidden="1">{#N/A,#N/A,TRUE,"Буржуям"}</definedName>
    <definedName name="Н_дорож">#REF!</definedName>
    <definedName name="н76е7у5">[0]!н76е7у5</definedName>
    <definedName name="Н8">[101]Трансформаторн!$F$8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[102]Исходник!$U$4:$U$17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[35]П!#REF!</definedName>
    <definedName name="Нал1">[4]Лист1!#REF!</definedName>
    <definedName name="НалИмущ">[103]Параметры!#REF!</definedName>
    <definedName name="НалНДС">#REF!</definedName>
    <definedName name="Налог_на_прибыль">[35]П!$A$19:$IV$19,[35]П!$A$12</definedName>
    <definedName name="налоги1" hidden="1">{#N/A,#N/A,TRUE,"Буржуям"}</definedName>
    <definedName name="налоги3" hidden="1">{#N/A,#N/A,TRUE,"Буржуям"}</definedName>
    <definedName name="НалОфКонв">[41]Параметры!#REF!</definedName>
    <definedName name="НалПриб">#REF!</definedName>
    <definedName name="НалПрибОкт">[104]Параметры!$B$16</definedName>
    <definedName name="НалРекл">[103]Параметры!#REF!</definedName>
    <definedName name="НалФинОф">[41]Параметры!#REF!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[35]!GetSANDValue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[86]Параметры!$B$18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[105]НФИк!$A$17</definedName>
    <definedName name="ннненен" hidden="1">{"glc1",#N/A,FALSE,"GLC";"glc2",#N/A,FALSE,"GLC";"glc3",#N/A,FALSE,"GLC";"glc4",#N/A,FALSE,"GLC";"glc5",#N/A,FALSE,"GLC"}</definedName>
    <definedName name="нннне" hidden="1">[23]MAIN!#REF!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[35]П!#REF!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[56]бог!#REF!</definedName>
    <definedName name="общ.пл.">[56]бог!#REF!</definedName>
    <definedName name="общ.пл.встр.">#REF!</definedName>
    <definedName name="общ.пл.кв.">[56]бог!#REF!</definedName>
    <definedName name="ОбщаяПл">'[41]Сводный-затраты'!$C$3</definedName>
    <definedName name="объем">[32]Характеристика!$B$37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[56]бог!#REF!</definedName>
    <definedName name="ожид.закл.кв.у.е.">[56]бог!#REF!</definedName>
    <definedName name="ожид.незакл.встр.">#REF!</definedName>
    <definedName name="ожид.незакл.встр.у.е.">#REF!</definedName>
    <definedName name="ожид.незакл.дог.">[56]бог!#REF!</definedName>
    <definedName name="ожид.незакл.кв.у.е.">[56]бог!#REF!</definedName>
    <definedName name="ожид.непрод.встр.">#REF!</definedName>
    <definedName name="ожид.непрод.кв.">[56]бог!#REF!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'[106]Таблица 8'!#REF!</definedName>
    <definedName name="оленреа">[0]!оленреа</definedName>
    <definedName name="олл">[107]Содержание!$J$15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[79]Контрагенты!$C$76:$C$78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[62]списки!$E$34</definedName>
    <definedName name="опл_имп">[62]списки!$E$30</definedName>
    <definedName name="опла.кв.руб.безмфтц">'[56]каскад,5'!#REF!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[56]бог!#REF!</definedName>
    <definedName name="оплач.кв.руб.мфтц">#REF!</definedName>
    <definedName name="оплач.кв.у.е.">[56]бог!#REF!</definedName>
    <definedName name="оплач.комм.встр.">#REF!</definedName>
    <definedName name="оплач.комм.доп.кв.">[56]бог!#REF!</definedName>
    <definedName name="оплач.комм.кв.">[56]бог!#REF!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[108]Словари!$B$5:$B$6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[76]Inputs_Assumptions!$D$226:$D$226</definedName>
    <definedName name="ОФР2" hidden="1">{"'интерфейс'!$J$31:$M$43"}</definedName>
    <definedName name="ОФР3" hidden="1">{"'интерфейс'!$J$31:$M$43"}</definedName>
    <definedName name="ОХ">[79]Контрагенты!$C$24:$C$54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[109]Настройка!$A$5</definedName>
    <definedName name="павпавпас" hidden="1">[23]MAIN!#REF!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'[93]Предпр.-взвеш.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'[31]Гр+'!#REF!</definedName>
    <definedName name="ПВС1">[110]НФИк!$A$17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[31]ВводД!$C$1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[94]Исход.инф.!$B$9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'[31]Гр+'!#REF!</definedName>
    <definedName name="план04МФТЦ">'[31]Гр+'!#REF!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[41]Параметры!$B$12</definedName>
    <definedName name="ПлощадьУчастка">[41]Параметры!$B$10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'[111]Предпр.-взвеш.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'[34]см.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[35]П!#REF!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'[28]Метод остатка'!#REF!</definedName>
    <definedName name="потолок">#REF!</definedName>
    <definedName name="Потребители">'[112]Пр.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[55]нормы!$E$3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'[113]Машины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[56]бог!#REF!</definedName>
    <definedName name="прод.пл.встр.">#REF!</definedName>
    <definedName name="прод.пл.встр.мфтц">#REF!</definedName>
    <definedName name="прод.пл.кв.">[56]бог!#REF!</definedName>
    <definedName name="прод.пл.кв.мфтц">#REF!</definedName>
    <definedName name="прод.пл.мфтц">'[56]мфтц,к.4'!#REF!</definedName>
    <definedName name="прод.ст.">#REF!</definedName>
    <definedName name="Продажи">'[114]Расчёт 2005'!$K$4</definedName>
    <definedName name="Продажи2">#REF!</definedName>
    <definedName name="продан.пл.">[56]бог!#REF!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'[115]Исх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[74]Служебный!$J$7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'[28]Метод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'[34]см.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[31]ВводД!$E$1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[62]списки!$E$21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[33]ЛитБ!$G$351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[23]MAIN!#REF!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[116]Начало!A1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[117]затр_подх!$A$16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'[118]пр-во'!$X$11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[56]бог!#REF!</definedName>
    <definedName name="свобод.пл.">'[56]каскад,5'!#REF!</definedName>
    <definedName name="свобод.площ.">[56]бог!#REF!</definedName>
    <definedName name="сводн.площ.">#REF!</definedName>
    <definedName name="Сводный_график_по_Мосмева">'[89]Оплата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'[31]Гр+'!#REF!</definedName>
    <definedName name="сер.1оч.у.е.">'[31]Гр+'!#REF!</definedName>
    <definedName name="сер.2оч.руб.">'[31]Гр+'!#REF!</definedName>
    <definedName name="сер.2оч.у.е.">'[31]Гр+'!#REF!</definedName>
    <definedName name="сер31.руб.">'[31]Гр+'!#REF!</definedName>
    <definedName name="сер31.у.е.">'[31]Гр+'!#REF!</definedName>
    <definedName name="Серная_кислота">#REF!</definedName>
    <definedName name="Сероводород_на_соб._нужды__">#REF!</definedName>
    <definedName name="си">[98]Описание!$C$3:$AW$32</definedName>
    <definedName name="сигнализация">#REF!</definedName>
    <definedName name="ск4">'[92]общие данные'!$F$3</definedName>
    <definedName name="ск62">'[92]общие данные'!$G$3</definedName>
    <definedName name="ск79">'[92]общие данные'!$H$3</definedName>
    <definedName name="ск80б">'[92]общие данные'!$K$3</definedName>
    <definedName name="ск80к">'[92]общие данные'!$I$3</definedName>
    <definedName name="скид">#REF!</definedName>
    <definedName name="скидка">[31]ВводД!$M$1</definedName>
    <definedName name="скпл">'[92]общие данные'!$L$3</definedName>
    <definedName name="скуцс">'[4]за месяц'!#REF!</definedName>
    <definedName name="слон" hidden="1">{#N/A,#N/A,TRUE,"Буржуям"}</definedName>
    <definedName name="см1_СТЕНЫ">'[119]СМ.ВЫШЕ НОЛЯ'!#REF!</definedName>
    <definedName name="см3_КРОВЛЯ">'[119]СМ.ВЫШЕ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'[119]СМ.ВЫШЕ НОЛЯ'!#REF!</definedName>
    <definedName name="смета2">#REF!</definedName>
    <definedName name="смета3">#REF!</definedName>
    <definedName name="смета3_КРЫША">'[119]СМ.ВЫШЕ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[120]Словари!$A$5:$A$121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[121]Лист1!$C$14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INDEX('[122] ТЭП '!$A:$A,2):INDEX('[122] ТЭП '!$A:$A,COUNTA('[122]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[41]Параметры!$B$24</definedName>
    <definedName name="Сравн" hidden="1">{"assets",#N/A,FALSE,"historicBS";"liab",#N/A,FALSE,"historicBS";"is",#N/A,FALSE,"historicIS";"ratios",#N/A,FALSE,"ratios"}</definedName>
    <definedName name="СрД">'[62]исходные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'[123]ставка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[108]Словари!$C$5:$C$13</definedName>
    <definedName name="статьи_Балитэкс">OFFSET([49]справочники!$A$100,0,0, COUNTA([49]справочники!$A$100:$A$120),1)</definedName>
    <definedName name="статьи_ГПБИ_GPBI">OFFSET([49]справочники!$A$83,0,0, COUNTA([49]справочники!$A$83:$A$98),1)</definedName>
    <definedName name="статьи_Лиона">OFFSET([49]справочники!$A$73,0,0, COUNTA([49]справочники!$A$73:$A$81),1)</definedName>
    <definedName name="статьи_расходов">OFFSET([49]справочники!$A$3,0,0, COUNTA([49]справочники!$A$3:$A$39),1)</definedName>
    <definedName name="Статьи_Харкона">OFFSET([49]справочники!$A$40,0,0, COUNTA([49]справочники!$A$40:$A$72),1)</definedName>
    <definedName name="статья">#REF!</definedName>
    <definedName name="СтДеп">[41]Параметры!$B$33</definedName>
    <definedName name="СтДепПетр">[91]Параметры!$B$22</definedName>
    <definedName name="СтДиск">[41]Параметры!$B$36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[41]Параметры!$B$34</definedName>
    <definedName name="СтКред">[86]Параметры!$B$21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'[112]Пр. №3 Справочник "Контрагенты"'!$H$5:$H$30</definedName>
    <definedName name="СтПродаж">[41]Параметры!$B$35</definedName>
    <definedName name="Стр" hidden="1">{#N/A,#N/A,TRUE,"Буржуям"}</definedName>
    <definedName name="СтРеф">[103]Параметры!#REF!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[56]бог!#REF!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[56]бог!#REF!</definedName>
    <definedName name="Сумма">#REF!</definedName>
    <definedName name="сумма1">[44]Кредит!$A$6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[124]Лист1!$A$1:$A$6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'[31]Гр+'!#REF!</definedName>
    <definedName name="т3.у.е.">'[31]Гр+'!#REF!</definedName>
    <definedName name="т3с.руб.">'[31]Гр+'!#REF!</definedName>
    <definedName name="т3с.у.е.">'[31]Гр+'!#REF!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'[125]Метод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'[61]рын счит'!$B$3:$B$3</definedName>
    <definedName name="таня">[126]Трансформаторн!$F$8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[103]Параметры!$B$22</definedName>
    <definedName name="ТЕПЛОИЗОЛЯЦИЯ">'[34]см. ЦЕНЫ '!$B$207</definedName>
    <definedName name="теплоизоляциястен">#REF!</definedName>
    <definedName name="термостат_головка">[127]сантех...!#REF!</definedName>
    <definedName name="термостатич_головка">[127]сантех...!#REF!</definedName>
    <definedName name="Тип">#REF!</definedName>
    <definedName name="Тип_бюджета">#REF!</definedName>
    <definedName name="тип1">[44]Кредит!$E$6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[128]мса_СКЛАД!$H$30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[129]Содержание!$J$15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'[36]матер.(октябрь)'!#REF!</definedName>
    <definedName name="трубы">#REF!</definedName>
    <definedName name="ТРЦ_ShoppingСenter">[76]Inputs_Assumptions!$B$26</definedName>
    <definedName name="тт">#REF!</definedName>
    <definedName name="ттт">[130]предприятия!$C$2:$C$3228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[35]П!#REF!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[131]НФИк!$A$17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[72]НФИк!$A$17</definedName>
    <definedName name="УЕКУГИ2">[132]Начало!A1</definedName>
    <definedName name="уеуке4е" hidden="1">[133]GLC_ratios_Jun!$D$15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[55]нормы!$E$234:$E$236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[134]Ниточки!$B$5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'[135]3.3.31.'!$A$17:$E$106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'[31]Гр+'!#REF!</definedName>
    <definedName name="ф1.у.е.">'[31]Гр+'!#REF!</definedName>
    <definedName name="ф110">#REF!</definedName>
    <definedName name="ф120">#REF!</definedName>
    <definedName name="ф1с.руб.">'[31]Гр+'!#REF!</definedName>
    <definedName name="ф1с.у.е.">'[31]Гр+'!#REF!</definedName>
    <definedName name="Ф2">[4]Лист1!$F$33</definedName>
    <definedName name="ф2.руб.">'[31]Гр+'!#REF!</definedName>
    <definedName name="ф2.у.е.">'[31]Гр+'!#REF!</definedName>
    <definedName name="ф2с.руб.">'[31]Гр+'!#REF!</definedName>
    <definedName name="ф2с.у.е.">'[31]Гр+'!#REF!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'[31]Гр+'!#REF!</definedName>
    <definedName name="ф3А.у.е.">'[31]Гр+'!#REF!</definedName>
    <definedName name="ф3Ас.руб.">'[31]Гр+'!#REF!</definedName>
    <definedName name="ф3Ас.у.е.">'[31]Гр+'!#REF!</definedName>
    <definedName name="ф4.руб.">'[31]Гр+'!#REF!</definedName>
    <definedName name="ф4.у.е.">'[31]Гр+'!#REF!</definedName>
    <definedName name="ф4с.руб.">'[24]Сводная ЛССМУ'!#REF!</definedName>
    <definedName name="ф4с.у.е.">'[24]Сводная ЛССМУ'!#REF!</definedName>
    <definedName name="ф5.руб.">'[24]Сводная ЛССМУ'!#REF!</definedName>
    <definedName name="ф5.у.е.">'[24]Сводная ЛССМУ'!#REF!</definedName>
    <definedName name="ф5с.руб.">'[24]Сводная ЛССМУ'!#REF!</definedName>
    <definedName name="ф5с.у.е.">'[24]Сводная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[98]Описание!$C$3:$AW$32</definedName>
    <definedName name="ФакторЗатухания">'[87]Прогноз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[136]Данные!$B$5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[41]Параметры!#REF!</definedName>
    <definedName name="ФЙУКАЕ" hidden="1">{#VALUE!,#N/A,TRUE,0}</definedName>
    <definedName name="фкнно" hidden="1">{"'Prices'!$A$4:$J$27"}</definedName>
    <definedName name="фок.руб.">'[31]Гр+'!#REF!</definedName>
    <definedName name="фок.у.е.">'[31]Гр+'!#REF!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[35]!GetSANDValue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'[60]Плановые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[23]MAIN!#REF!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[35]П!#REF!</definedName>
    <definedName name="х">#REF!</definedName>
    <definedName name="х2">#REF!</definedName>
    <definedName name="хз">'[28]Метод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[137]Начало!$J$7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'[56]каскад,5'!#REF!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[21]Титул!$D$12,[21]Титул!$E$15,[21]Титул!$C$20,[21]Титул!$L$12:$O$17</definedName>
    <definedName name="чист3">[21]Ф2!$M$22:$Q$30,[21]Ф2!$M$34:$Q$42,[21]Ф2!$M$46:$Q$48,[21]Ф2!$M$53:$Q$54,[21]Ф2!$M$59:$Q$59,[21]Ф2!$M$65:$Q$65,[21]Ф2!$M$68:$Q$72</definedName>
    <definedName name="чист4">[21]Ф4!$M$27:$Q$28,[21]Ф4!$K$29:$L$32,[21]Ф4!$M$30:$Q$34,[21]Ф4!$K$37:$L$40,[21]Ф4!$M$37:$Q$37,[21]Ф4!$M$40:$Q$40,[21]Ф4!$M$41,[21]Ф4!$M$42:$Q$45,[21]Ф4!$K$44:$L$45,[21]Ф4!$J$50:$J$52</definedName>
    <definedName name="чист5">[21]Ф5!$J$26:$Q$30,[21]Ф5!$J$33:$Q$42,[21]Ф5!$J$51:$Q$56,[21]Ф5!$J$66:$Q$67,[21]Ф5!$J$72:$Q$74,[21]Ф5!$J$76:$Q$79,[21]Ф5!$J$81:$Q$82,[21]Ф5!$J$89:$J$97,[21]Ф5!$N$89:$Q$97,[21]Ф5!$J$105:$J$110,[21]Ф5!$N$105:$Q$110,[21]Ф5!$J$118:$J$119,[21]Ф5!$J$132:$J$133,[21]Ф5!$J$140:$M$141,[21]Ф5!$J$143:$M$145,[21]Ф5!$J$148:$M$150,[21]Ф5!$J$157:$Q$160</definedName>
    <definedName name="чист6">[21]Ф6!$L$19,[21]Ф6!$J$21:$N$25,[21]Ф6!$J$29:$N$31,[21]Ф6!$J$34:$N$37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'[31]Гр+'!#REF!</definedName>
    <definedName name="ш.оз.у.е.">'[31]Гр+'!#REF!</definedName>
    <definedName name="шаб">'[138]Инвестиции(18)'!#REF!</definedName>
    <definedName name="шахты">'[28]Метод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[45]рын!$B$1:$L$65536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'[36]матер.(октябрь)'!#REF!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[45]износ!$B$1:$I$65536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[39]Исходник!$R$4:$R$6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'[31]Гр+'!#REF!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[41]Параметры!$B$11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[98]Описание!$A$3:$IV$43</definedName>
    <definedName name="юр.отд.">'[56]каскад,5'!#REF!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[29]НФИк!$A$17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'[31]Гр+'!#REF!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8" i="2" l="1"/>
  <c r="CA17" i="2"/>
  <c r="CA14" i="2"/>
  <c r="CA13" i="2"/>
  <c r="CA12" i="2"/>
  <c r="CA9" i="2"/>
  <c r="CA8" i="2"/>
  <c r="CA7" i="2"/>
  <c r="AC65" i="6" l="1"/>
  <c r="AE28" i="6"/>
  <c r="AE24" i="6"/>
  <c r="AE27" i="6"/>
  <c r="AE26" i="6"/>
  <c r="AE22" i="6"/>
  <c r="AA24" i="6"/>
  <c r="AC22" i="6"/>
  <c r="AC24" i="6"/>
  <c r="AC26" i="6"/>
  <c r="AA26" i="6"/>
  <c r="AE20" i="6"/>
  <c r="AE19" i="6"/>
  <c r="AC19" i="6"/>
  <c r="Q26" i="1"/>
  <c r="P17" i="1" l="1"/>
  <c r="Q10" i="1"/>
  <c r="Q11" i="1"/>
  <c r="Q9" i="1" l="1"/>
  <c r="Q8" i="1" s="1"/>
  <c r="AE18" i="6" l="1"/>
  <c r="AE64" i="6" l="1"/>
  <c r="AE63" i="6"/>
  <c r="AE62" i="6" s="1"/>
  <c r="AE66" i="6"/>
  <c r="AE61" i="6"/>
  <c r="AE67" i="6" s="1"/>
  <c r="AE57" i="6"/>
  <c r="AE56" i="6"/>
  <c r="AE55" i="6"/>
  <c r="AE58" i="6" s="1"/>
  <c r="AE51" i="6"/>
  <c r="AE47" i="6"/>
  <c r="AE44" i="6"/>
  <c r="AE43" i="6"/>
  <c r="AE42" i="6"/>
  <c r="AE41" i="6"/>
  <c r="AE40" i="6" s="1"/>
  <c r="AE32" i="6"/>
  <c r="AE31" i="6"/>
  <c r="AE30" i="6"/>
  <c r="AE29" i="6"/>
  <c r="AE25" i="6"/>
  <c r="AE23" i="6" s="1"/>
  <c r="AE34" i="6" s="1"/>
  <c r="AE14" i="6"/>
  <c r="AE13" i="6"/>
  <c r="AE11" i="6"/>
  <c r="AE10" i="6"/>
  <c r="AE9" i="6"/>
  <c r="AE8" i="6"/>
  <c r="AE48" i="6"/>
  <c r="AT70" i="7"/>
  <c r="AU32" i="7"/>
  <c r="AU37" i="7"/>
  <c r="P78" i="7"/>
  <c r="P77" i="7"/>
  <c r="P72" i="7"/>
  <c r="AU72" i="7" s="1"/>
  <c r="P71" i="7"/>
  <c r="AU71" i="7" s="1"/>
  <c r="M70" i="7"/>
  <c r="P68" i="7"/>
  <c r="P67" i="7"/>
  <c r="P66" i="7"/>
  <c r="P63" i="7"/>
  <c r="P62" i="7"/>
  <c r="P69" i="7"/>
  <c r="P65" i="7"/>
  <c r="P64" i="7"/>
  <c r="P58" i="7"/>
  <c r="AU58" i="7" s="1"/>
  <c r="P57" i="7"/>
  <c r="P56" i="7"/>
  <c r="P55" i="7"/>
  <c r="P54" i="7"/>
  <c r="P53" i="7"/>
  <c r="P52" i="7"/>
  <c r="P51" i="7"/>
  <c r="P50" i="7"/>
  <c r="AU50" i="7" s="1"/>
  <c r="P49" i="7"/>
  <c r="P48" i="7"/>
  <c r="P47" i="7"/>
  <c r="P59" i="7" s="1"/>
  <c r="P43" i="7"/>
  <c r="P40" i="7"/>
  <c r="P38" i="7"/>
  <c r="O38" i="7"/>
  <c r="P36" i="7"/>
  <c r="P41" i="7" s="1"/>
  <c r="P35" i="7"/>
  <c r="P34" i="7"/>
  <c r="O34" i="7"/>
  <c r="P29" i="7"/>
  <c r="P28" i="7"/>
  <c r="P27" i="7"/>
  <c r="P26" i="7"/>
  <c r="P25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7" i="7"/>
  <c r="AU10" i="5"/>
  <c r="AU11" i="5"/>
  <c r="AU12" i="5"/>
  <c r="AU14" i="5"/>
  <c r="AU15" i="5"/>
  <c r="AU16" i="5"/>
  <c r="AU44" i="5"/>
  <c r="P59" i="5"/>
  <c r="P57" i="5"/>
  <c r="P54" i="5"/>
  <c r="P52" i="5"/>
  <c r="P45" i="5"/>
  <c r="P44" i="5"/>
  <c r="P43" i="5"/>
  <c r="N42" i="5"/>
  <c r="O42" i="5"/>
  <c r="P40" i="5"/>
  <c r="P39" i="5"/>
  <c r="P38" i="5"/>
  <c r="P36" i="5"/>
  <c r="P37" i="5"/>
  <c r="P35" i="5"/>
  <c r="P34" i="5"/>
  <c r="P31" i="5"/>
  <c r="P29" i="5"/>
  <c r="P28" i="5"/>
  <c r="P27" i="5"/>
  <c r="P25" i="5"/>
  <c r="P24" i="5"/>
  <c r="P23" i="5"/>
  <c r="P22" i="5"/>
  <c r="P21" i="5"/>
  <c r="P55" i="5" s="1"/>
  <c r="P19" i="5"/>
  <c r="P53" i="5" s="1"/>
  <c r="AU53" i="5" s="1"/>
  <c r="P9" i="5"/>
  <c r="Q28" i="1"/>
  <c r="Q27" i="1" s="1"/>
  <c r="O25" i="1"/>
  <c r="O27" i="1"/>
  <c r="Q29" i="1"/>
  <c r="P30" i="5" l="1"/>
  <c r="P56" i="5"/>
  <c r="AU19" i="5"/>
  <c r="AE15" i="6"/>
  <c r="AE36" i="6" s="1"/>
  <c r="AE68" i="6"/>
  <c r="P44" i="7"/>
  <c r="P58" i="5" l="1"/>
  <c r="Q24" i="1"/>
  <c r="Q25" i="1" s="1"/>
  <c r="Q20" i="1"/>
  <c r="Q21" i="1" s="1"/>
  <c r="Q19" i="1"/>
  <c r="Q18" i="1"/>
  <c r="Q17" i="1"/>
  <c r="Q15" i="1"/>
  <c r="Q16" i="1" s="1"/>
  <c r="Q12" i="1"/>
  <c r="Q7" i="1"/>
  <c r="P60" i="5" l="1"/>
  <c r="Q31" i="2"/>
  <c r="Q27" i="2"/>
  <c r="Q28" i="2"/>
  <c r="Q29" i="2"/>
  <c r="Q37" i="2" s="1"/>
  <c r="Q30" i="2"/>
  <c r="Q32" i="2"/>
  <c r="Q33" i="2"/>
  <c r="Q44" i="2"/>
  <c r="Q34" i="2" s="1"/>
  <c r="Q45" i="2"/>
  <c r="Q46" i="2"/>
  <c r="Q47" i="2"/>
  <c r="Q49" i="2"/>
  <c r="Q51" i="2"/>
  <c r="Q26" i="2"/>
  <c r="Q7" i="2"/>
  <c r="Q18" i="2"/>
  <c r="Q17" i="2"/>
  <c r="Q14" i="2"/>
  <c r="Q13" i="2"/>
  <c r="Q12" i="2"/>
  <c r="Q9" i="2"/>
  <c r="P9" i="2"/>
  <c r="Q8" i="2"/>
  <c r="BZ48" i="2"/>
  <c r="BZ41" i="2"/>
  <c r="BZ39" i="2"/>
  <c r="BZ40" i="2"/>
  <c r="BZ38" i="2"/>
  <c r="BZ37" i="2"/>
  <c r="BZ36" i="2"/>
  <c r="BZ35" i="2"/>
  <c r="BZ34" i="2"/>
  <c r="BZ18" i="2"/>
  <c r="BZ17" i="2"/>
  <c r="BZ14" i="2"/>
  <c r="BZ13" i="2"/>
  <c r="BZ12" i="2"/>
  <c r="BZ9" i="2"/>
  <c r="BZ8" i="2"/>
  <c r="Q35" i="2" l="1"/>
  <c r="Q36" i="2"/>
  <c r="BY50" i="2"/>
  <c r="BY48" i="2"/>
  <c r="BY41" i="2"/>
  <c r="BY40" i="2"/>
  <c r="BY39" i="2"/>
  <c r="BY38" i="2"/>
  <c r="BY37" i="2"/>
  <c r="BY35" i="2"/>
  <c r="BY36" i="2"/>
  <c r="BY34" i="2"/>
  <c r="BY18" i="2"/>
  <c r="BY17" i="2"/>
  <c r="BY13" i="2"/>
  <c r="BY14" i="2"/>
  <c r="BY12" i="2"/>
  <c r="BY9" i="2"/>
  <c r="BY8" i="2"/>
  <c r="AT68" i="7" l="1"/>
  <c r="AU68" i="7" s="1"/>
  <c r="AT67" i="7"/>
  <c r="AU67" i="7" s="1"/>
  <c r="AT66" i="7"/>
  <c r="AU66" i="7" s="1"/>
  <c r="AT69" i="7"/>
  <c r="AU69" i="7" s="1"/>
  <c r="AT65" i="7"/>
  <c r="AU65" i="7" s="1"/>
  <c r="AT64" i="7"/>
  <c r="AU64" i="7" s="1"/>
  <c r="AT63" i="7"/>
  <c r="AU63" i="7" s="1"/>
  <c r="AT62" i="7"/>
  <c r="AT56" i="7"/>
  <c r="AU56" i="7" s="1"/>
  <c r="AT55" i="7"/>
  <c r="AU55" i="7" s="1"/>
  <c r="AT54" i="7"/>
  <c r="AU54" i="7" s="1"/>
  <c r="AT53" i="7"/>
  <c r="AU53" i="7" s="1"/>
  <c r="AT57" i="7"/>
  <c r="AU57" i="7" s="1"/>
  <c r="AT52" i="7"/>
  <c r="AU52" i="7" s="1"/>
  <c r="AT76" i="7"/>
  <c r="AT77" i="7"/>
  <c r="AU77" i="7" s="1"/>
  <c r="AT51" i="7"/>
  <c r="AU51" i="7" s="1"/>
  <c r="AT49" i="7"/>
  <c r="AU49" i="7" s="1"/>
  <c r="AT48" i="7"/>
  <c r="AU48" i="7" s="1"/>
  <c r="AT47" i="7"/>
  <c r="AT43" i="7"/>
  <c r="AU43" i="7" s="1"/>
  <c r="AT42" i="7"/>
  <c r="AU42" i="7" s="1"/>
  <c r="AT33" i="7"/>
  <c r="AU33" i="7" s="1"/>
  <c r="AT40" i="7"/>
  <c r="AU40" i="7" s="1"/>
  <c r="AT39" i="7"/>
  <c r="AU39" i="7" s="1"/>
  <c r="AT38" i="7"/>
  <c r="AU38" i="7" s="1"/>
  <c r="AR38" i="7"/>
  <c r="AT36" i="7"/>
  <c r="AU36" i="7" s="1"/>
  <c r="AR36" i="7"/>
  <c r="AT35" i="7"/>
  <c r="AU35" i="7" s="1"/>
  <c r="AR35" i="7"/>
  <c r="AT34" i="7"/>
  <c r="AU34" i="7" s="1"/>
  <c r="AR33" i="7"/>
  <c r="AR34" i="7"/>
  <c r="AT24" i="7"/>
  <c r="AU24" i="7" s="1"/>
  <c r="AR24" i="7"/>
  <c r="AS24" i="7" s="1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O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T27" i="7"/>
  <c r="AU27" i="7" s="1"/>
  <c r="AT21" i="7"/>
  <c r="AU21" i="7" s="1"/>
  <c r="AT20" i="7"/>
  <c r="AU20" i="7" s="1"/>
  <c r="AT19" i="7"/>
  <c r="AU19" i="7" s="1"/>
  <c r="AT30" i="7"/>
  <c r="AU30" i="7" s="1"/>
  <c r="AT29" i="7"/>
  <c r="AU29" i="7" s="1"/>
  <c r="AT28" i="7"/>
  <c r="AU28" i="7" s="1"/>
  <c r="AT25" i="7"/>
  <c r="AU25" i="7" s="1"/>
  <c r="AT26" i="7"/>
  <c r="AU26" i="7" s="1"/>
  <c r="AT23" i="7"/>
  <c r="AU23" i="7" s="1"/>
  <c r="AT22" i="7"/>
  <c r="AU22" i="7" s="1"/>
  <c r="AT18" i="7"/>
  <c r="AU18" i="7" s="1"/>
  <c r="AT17" i="7"/>
  <c r="AU17" i="7" s="1"/>
  <c r="AT16" i="7"/>
  <c r="AU16" i="7" s="1"/>
  <c r="AT15" i="7"/>
  <c r="AU15" i="7" s="1"/>
  <c r="AT14" i="7"/>
  <c r="AU14" i="7" s="1"/>
  <c r="AT13" i="7"/>
  <c r="AU13" i="7" s="1"/>
  <c r="AT12" i="7"/>
  <c r="AU12" i="7" s="1"/>
  <c r="AT11" i="7"/>
  <c r="AU11" i="7" s="1"/>
  <c r="AT10" i="7"/>
  <c r="AU10" i="7" s="1"/>
  <c r="AT7" i="7"/>
  <c r="AU7" i="7" s="1"/>
  <c r="AC64" i="6"/>
  <c r="AD65" i="6"/>
  <c r="AD66" i="6"/>
  <c r="AD64" i="6"/>
  <c r="AD63" i="6"/>
  <c r="AD61" i="6"/>
  <c r="AD57" i="6"/>
  <c r="AD56" i="6"/>
  <c r="AD55" i="6"/>
  <c r="AD53" i="6"/>
  <c r="AD52" i="6"/>
  <c r="AD51" i="6"/>
  <c r="AD58" i="6" s="1"/>
  <c r="AD47" i="6"/>
  <c r="AD48" i="6" s="1"/>
  <c r="AD46" i="6"/>
  <c r="AD45" i="6"/>
  <c r="AD44" i="6"/>
  <c r="AD43" i="6"/>
  <c r="AD42" i="6"/>
  <c r="AD41" i="6"/>
  <c r="AD31" i="6"/>
  <c r="AD30" i="6"/>
  <c r="AD29" i="6"/>
  <c r="AD28" i="6"/>
  <c r="AD27" i="6"/>
  <c r="AD26" i="6"/>
  <c r="AD25" i="6"/>
  <c r="AC25" i="6"/>
  <c r="AD24" i="6"/>
  <c r="AD22" i="6"/>
  <c r="AD21" i="6"/>
  <c r="AD20" i="6"/>
  <c r="AD19" i="6"/>
  <c r="AD32" i="6"/>
  <c r="AD14" i="6"/>
  <c r="AD13" i="6"/>
  <c r="AD12" i="6"/>
  <c r="AD11" i="6"/>
  <c r="AD10" i="6"/>
  <c r="AD9" i="6"/>
  <c r="AD8" i="6"/>
  <c r="AD15" i="6" s="1"/>
  <c r="AT39" i="5"/>
  <c r="AU39" i="5" s="1"/>
  <c r="AT33" i="5"/>
  <c r="AU33" i="5" s="1"/>
  <c r="AT31" i="5"/>
  <c r="AU31" i="5" s="1"/>
  <c r="AT29" i="5"/>
  <c r="AU29" i="5" s="1"/>
  <c r="AT28" i="5"/>
  <c r="AU28" i="5" s="1"/>
  <c r="AT27" i="5"/>
  <c r="AU27" i="5" s="1"/>
  <c r="AT24" i="5"/>
  <c r="AU24" i="5" s="1"/>
  <c r="AT23" i="5"/>
  <c r="AU23" i="5" s="1"/>
  <c r="AT22" i="5"/>
  <c r="AU22" i="5" s="1"/>
  <c r="AT21" i="5"/>
  <c r="AU21" i="5" s="1"/>
  <c r="AT20" i="5"/>
  <c r="AU20" i="5" s="1"/>
  <c r="AT17" i="5"/>
  <c r="AU17" i="5" s="1"/>
  <c r="AT13" i="5"/>
  <c r="AU13" i="5" s="1"/>
  <c r="AT9" i="5"/>
  <c r="AU9" i="5" s="1"/>
  <c r="AT30" i="5" l="1"/>
  <c r="AD23" i="6"/>
  <c r="AU47" i="7"/>
  <c r="AT59" i="7"/>
  <c r="AU59" i="7" s="1"/>
  <c r="AD40" i="6"/>
  <c r="AD18" i="6"/>
  <c r="AD34" i="6" s="1"/>
  <c r="AD36" i="6" s="1"/>
  <c r="AT25" i="5"/>
  <c r="AU25" i="5" s="1"/>
  <c r="AU62" i="7"/>
  <c r="AT73" i="7"/>
  <c r="AT31" i="7"/>
  <c r="AD62" i="6"/>
  <c r="AD67" i="6" s="1"/>
  <c r="AD68" i="6" s="1"/>
  <c r="AT59" i="5"/>
  <c r="AU59" i="5" s="1"/>
  <c r="AT57" i="5"/>
  <c r="AU57" i="5" s="1"/>
  <c r="AT55" i="5"/>
  <c r="AU55" i="5" s="1"/>
  <c r="AT54" i="5"/>
  <c r="AU54" i="5" s="1"/>
  <c r="AT52" i="5"/>
  <c r="AU52" i="5" s="1"/>
  <c r="AU31" i="7" l="1"/>
  <c r="AT41" i="7"/>
  <c r="AT56" i="5"/>
  <c r="AU30" i="5"/>
  <c r="AT32" i="5"/>
  <c r="BV35" i="2"/>
  <c r="BU35" i="2"/>
  <c r="BV34" i="2"/>
  <c r="BU34" i="2"/>
  <c r="BV9" i="2"/>
  <c r="BU9" i="2"/>
  <c r="AT44" i="7" l="1"/>
  <c r="AU41" i="7"/>
  <c r="AU32" i="5"/>
  <c r="AT34" i="5"/>
  <c r="AU56" i="5"/>
  <c r="AT58" i="5"/>
  <c r="BX48" i="2"/>
  <c r="BX18" i="2"/>
  <c r="AU58" i="5" l="1"/>
  <c r="AT60" i="5"/>
  <c r="AU60" i="5" s="1"/>
  <c r="AU34" i="5"/>
  <c r="AT35" i="5"/>
  <c r="AU44" i="7"/>
  <c r="AT75" i="7"/>
  <c r="AT78" i="7" s="1"/>
  <c r="AU78" i="7" s="1"/>
  <c r="P47" i="1"/>
  <c r="P48" i="1"/>
  <c r="P46" i="1"/>
  <c r="AU35" i="5" l="1"/>
  <c r="AT38" i="5"/>
  <c r="BX41" i="2"/>
  <c r="BX40" i="2"/>
  <c r="BX39" i="2"/>
  <c r="BX38" i="2"/>
  <c r="BX37" i="2"/>
  <c r="BX35" i="2"/>
  <c r="BX36" i="2"/>
  <c r="BX34" i="2"/>
  <c r="AU38" i="5" l="1"/>
  <c r="AT43" i="5"/>
  <c r="AT40" i="5"/>
  <c r="AU40" i="5" s="1"/>
  <c r="BT35" i="2"/>
  <c r="BX14" i="2"/>
  <c r="BX13" i="2"/>
  <c r="BX12" i="2"/>
  <c r="AU43" i="5" l="1"/>
  <c r="AT45" i="5"/>
  <c r="AU45" i="5" s="1"/>
  <c r="BX9" i="2"/>
  <c r="BX8" i="2"/>
  <c r="BW8" i="2"/>
  <c r="BW50" i="2" l="1"/>
  <c r="Q50" i="2" s="1"/>
  <c r="BW48" i="2"/>
  <c r="Q48" i="2" s="1"/>
  <c r="BW41" i="2"/>
  <c r="Q41" i="2" s="1"/>
  <c r="BW40" i="2"/>
  <c r="Q40" i="2" s="1"/>
  <c r="BW39" i="2"/>
  <c r="Q39" i="2" s="1"/>
  <c r="BW38" i="2"/>
  <c r="Q38" i="2" s="1"/>
  <c r="BW37" i="2"/>
  <c r="BW34" i="2"/>
  <c r="BW12" i="2"/>
  <c r="BW9" i="2"/>
  <c r="O33" i="7" l="1"/>
  <c r="O31" i="7"/>
  <c r="O18" i="7"/>
  <c r="O7" i="7"/>
  <c r="AC63" i="6"/>
  <c r="AC62" i="6" s="1"/>
  <c r="AA63" i="6"/>
  <c r="AC66" i="6"/>
  <c r="AC61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B56" i="6"/>
  <c r="AC56" i="6"/>
  <c r="AC57" i="6"/>
  <c r="AC55" i="6"/>
  <c r="AC53" i="6"/>
  <c r="AC52" i="6" s="1"/>
  <c r="AA53" i="6"/>
  <c r="AA52" i="6"/>
  <c r="AC51" i="6"/>
  <c r="AC47" i="6"/>
  <c r="AC46" i="6"/>
  <c r="AC48" i="6" s="1"/>
  <c r="AC45" i="6"/>
  <c r="AC44" i="6"/>
  <c r="AC40" i="6"/>
  <c r="AC11" i="6"/>
  <c r="O59" i="5"/>
  <c r="O57" i="5"/>
  <c r="O45" i="5"/>
  <c r="O43" i="5"/>
  <c r="O40" i="5"/>
  <c r="O38" i="5"/>
  <c r="O25" i="5"/>
  <c r="O35" i="5"/>
  <c r="O34" i="5"/>
  <c r="O32" i="5"/>
  <c r="O31" i="5"/>
  <c r="O23" i="5"/>
  <c r="O21" i="5"/>
  <c r="O55" i="5" s="1"/>
  <c r="P12" i="1"/>
  <c r="P11" i="1"/>
  <c r="P10" i="1"/>
  <c r="AC67" i="6" l="1"/>
  <c r="AC58" i="6"/>
  <c r="O78" i="7"/>
  <c r="P76" i="7" s="1"/>
  <c r="AU76" i="7" s="1"/>
  <c r="O77" i="7"/>
  <c r="O76" i="7"/>
  <c r="O69" i="7"/>
  <c r="O65" i="7"/>
  <c r="O64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R23" i="7"/>
  <c r="O63" i="7"/>
  <c r="O62" i="7"/>
  <c r="O57" i="7"/>
  <c r="O56" i="7"/>
  <c r="O55" i="7"/>
  <c r="O54" i="7"/>
  <c r="O53" i="7"/>
  <c r="O52" i="7"/>
  <c r="O51" i="7"/>
  <c r="O50" i="7"/>
  <c r="O49" i="7"/>
  <c r="O48" i="7"/>
  <c r="O47" i="7"/>
  <c r="O43" i="7"/>
  <c r="O42" i="7"/>
  <c r="O35" i="7"/>
  <c r="AS35" i="7" s="1"/>
  <c r="O36" i="7"/>
  <c r="AS36" i="7" s="1"/>
  <c r="N36" i="7"/>
  <c r="N35" i="7"/>
  <c r="N33" i="7"/>
  <c r="L36" i="7"/>
  <c r="K36" i="7"/>
  <c r="J36" i="7"/>
  <c r="I36" i="7"/>
  <c r="H36" i="7"/>
  <c r="G36" i="7"/>
  <c r="F36" i="7"/>
  <c r="E36" i="7"/>
  <c r="D36" i="7"/>
  <c r="C36" i="7"/>
  <c r="B36" i="7"/>
  <c r="L35" i="7"/>
  <c r="K35" i="7"/>
  <c r="J35" i="7"/>
  <c r="I35" i="7"/>
  <c r="H35" i="7"/>
  <c r="G35" i="7"/>
  <c r="F35" i="7"/>
  <c r="E35" i="7"/>
  <c r="D35" i="7"/>
  <c r="C35" i="7"/>
  <c r="B35" i="7"/>
  <c r="M36" i="7"/>
  <c r="M35" i="7"/>
  <c r="O40" i="7"/>
  <c r="O39" i="7"/>
  <c r="O37" i="7"/>
  <c r="O32" i="7"/>
  <c r="O15" i="7"/>
  <c r="AS15" i="7" s="1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S23" i="7" s="1"/>
  <c r="O25" i="7"/>
  <c r="O26" i="7"/>
  <c r="O22" i="7"/>
  <c r="O21" i="7"/>
  <c r="O20" i="7"/>
  <c r="O19" i="7"/>
  <c r="O14" i="7"/>
  <c r="O16" i="7"/>
  <c r="O17" i="7"/>
  <c r="O27" i="7"/>
  <c r="O28" i="7"/>
  <c r="O29" i="7"/>
  <c r="O30" i="7"/>
  <c r="O13" i="7"/>
  <c r="O12" i="7"/>
  <c r="O11" i="7"/>
  <c r="O10" i="7"/>
  <c r="V27" i="6"/>
  <c r="V23" i="6"/>
  <c r="X18" i="6"/>
  <c r="X23" i="6"/>
  <c r="Z27" i="6"/>
  <c r="Z28" i="6"/>
  <c r="Z26" i="6"/>
  <c r="Z23" i="6" s="1"/>
  <c r="Z22" i="6"/>
  <c r="Z18" i="6" s="1"/>
  <c r="AC20" i="6"/>
  <c r="AA20" i="6"/>
  <c r="AC21" i="6"/>
  <c r="AA21" i="6"/>
  <c r="AA19" i="6"/>
  <c r="AC27" i="6"/>
  <c r="AA27" i="6"/>
  <c r="AC29" i="6"/>
  <c r="AA29" i="6"/>
  <c r="AC28" i="6"/>
  <c r="AC30" i="6"/>
  <c r="AC31" i="6"/>
  <c r="AC32" i="6"/>
  <c r="AC14" i="6"/>
  <c r="AC12" i="6"/>
  <c r="AC13" i="6"/>
  <c r="AC10" i="6"/>
  <c r="AC9" i="6"/>
  <c r="AC8" i="6"/>
  <c r="AB8" i="6"/>
  <c r="AS10" i="5"/>
  <c r="AS11" i="5"/>
  <c r="AS12" i="5"/>
  <c r="O44" i="5"/>
  <c r="AS44" i="5" s="1"/>
  <c r="O41" i="5"/>
  <c r="N41" i="5"/>
  <c r="O39" i="5"/>
  <c r="O37" i="5"/>
  <c r="O36" i="5"/>
  <c r="N37" i="5"/>
  <c r="N36" i="5"/>
  <c r="M36" i="5"/>
  <c r="O33" i="5"/>
  <c r="O29" i="5"/>
  <c r="O28" i="5"/>
  <c r="O27" i="5"/>
  <c r="O24" i="5"/>
  <c r="O22" i="5"/>
  <c r="O20" i="5"/>
  <c r="O17" i="5"/>
  <c r="O13" i="5"/>
  <c r="O9" i="5"/>
  <c r="N13" i="5"/>
  <c r="N9" i="5"/>
  <c r="P28" i="1"/>
  <c r="P29" i="1"/>
  <c r="P27" i="1"/>
  <c r="P26" i="1"/>
  <c r="P25" i="1"/>
  <c r="P24" i="1"/>
  <c r="P21" i="1"/>
  <c r="P20" i="1"/>
  <c r="P19" i="1"/>
  <c r="P18" i="1"/>
  <c r="P16" i="1"/>
  <c r="P15" i="1"/>
  <c r="O8" i="1"/>
  <c r="O7" i="1"/>
  <c r="P9" i="1"/>
  <c r="P8" i="1"/>
  <c r="P7" i="1"/>
  <c r="O59" i="7" l="1"/>
  <c r="AC15" i="6"/>
  <c r="O41" i="7"/>
  <c r="O44" i="7" s="1"/>
  <c r="AC18" i="6"/>
  <c r="AC68" i="6"/>
  <c r="O30" i="5"/>
  <c r="O52" i="5"/>
  <c r="O56" i="5" s="1"/>
  <c r="O54" i="5"/>
  <c r="AC23" i="6"/>
  <c r="AC34" i="6" s="1"/>
  <c r="AC36" i="6" s="1"/>
  <c r="P43" i="1" l="1"/>
  <c r="BT18" i="2"/>
  <c r="O58" i="5" l="1"/>
  <c r="P47" i="2"/>
  <c r="P45" i="2"/>
  <c r="P46" i="2"/>
  <c r="P44" i="2"/>
  <c r="P32" i="2"/>
  <c r="P27" i="2"/>
  <c r="P30" i="2"/>
  <c r="P31" i="2"/>
  <c r="P33" i="2"/>
  <c r="P24" i="2"/>
  <c r="P17" i="2"/>
  <c r="P35" i="2" l="1"/>
  <c r="O60" i="5"/>
  <c r="O7" i="2"/>
  <c r="P42" i="1" l="1"/>
  <c r="P39" i="1"/>
  <c r="P38" i="1"/>
  <c r="P37" i="1"/>
  <c r="P33" i="1"/>
  <c r="P32" i="1"/>
  <c r="BV51" i="2"/>
  <c r="BV49" i="2"/>
  <c r="BV50" i="2"/>
  <c r="BV48" i="2"/>
  <c r="BV41" i="2"/>
  <c r="BV39" i="2"/>
  <c r="BV40" i="2"/>
  <c r="BV38" i="2"/>
  <c r="BV37" i="2"/>
  <c r="BV36" i="2"/>
  <c r="BV29" i="2"/>
  <c r="BV28" i="2"/>
  <c r="BV7" i="2"/>
  <c r="BV18" i="2"/>
  <c r="BV14" i="2"/>
  <c r="BV13" i="2"/>
  <c r="BV12" i="2"/>
  <c r="BV8" i="2"/>
  <c r="BU8" i="2"/>
  <c r="BT8" i="2"/>
  <c r="BS8" i="2"/>
  <c r="BV26" i="2"/>
  <c r="BU51" i="2" l="1"/>
  <c r="P51" i="2" s="1"/>
  <c r="BU50" i="2"/>
  <c r="P50" i="2" s="1"/>
  <c r="BU49" i="2"/>
  <c r="P49" i="2" s="1"/>
  <c r="BU48" i="2"/>
  <c r="P48" i="2" s="1"/>
  <c r="BU41" i="2"/>
  <c r="P41" i="2" s="1"/>
  <c r="BU40" i="2"/>
  <c r="P40" i="2" s="1"/>
  <c r="BU39" i="2"/>
  <c r="P39" i="2" s="1"/>
  <c r="BU38" i="2"/>
  <c r="P38" i="2" s="1"/>
  <c r="BU37" i="2"/>
  <c r="BU36" i="2"/>
  <c r="BU29" i="2"/>
  <c r="P29" i="2" s="1"/>
  <c r="BU28" i="2"/>
  <c r="P28" i="2" s="1"/>
  <c r="P36" i="2" s="1"/>
  <c r="BU26" i="2"/>
  <c r="P26" i="2" s="1"/>
  <c r="P34" i="2" s="1"/>
  <c r="BU18" i="2"/>
  <c r="P18" i="2" s="1"/>
  <c r="BU14" i="2"/>
  <c r="BU13" i="2"/>
  <c r="P13" i="2" s="1"/>
  <c r="BU12" i="2"/>
  <c r="P12" i="2" s="1"/>
  <c r="BU7" i="2"/>
  <c r="P7" i="2" s="1"/>
  <c r="P14" i="2" l="1"/>
  <c r="AR77" i="7" l="1"/>
  <c r="AS77" i="7" s="1"/>
  <c r="AR76" i="7"/>
  <c r="AS76" i="7" s="1"/>
  <c r="AR70" i="7"/>
  <c r="AR69" i="7"/>
  <c r="AS69" i="7" s="1"/>
  <c r="AR68" i="7"/>
  <c r="AR67" i="7"/>
  <c r="AR66" i="7"/>
  <c r="AR65" i="7"/>
  <c r="AS65" i="7" s="1"/>
  <c r="AR64" i="7"/>
  <c r="AS64" i="7" s="1"/>
  <c r="AR63" i="7"/>
  <c r="AS63" i="7" s="1"/>
  <c r="AR62" i="7"/>
  <c r="AR57" i="7"/>
  <c r="AS57" i="7" s="1"/>
  <c r="AR56" i="7"/>
  <c r="AS56" i="7" s="1"/>
  <c r="AR55" i="7"/>
  <c r="AS55" i="7" s="1"/>
  <c r="AR54" i="7"/>
  <c r="AS54" i="7" s="1"/>
  <c r="AR53" i="7"/>
  <c r="AS53" i="7" s="1"/>
  <c r="AP52" i="7"/>
  <c r="AP51" i="7"/>
  <c r="AR52" i="7"/>
  <c r="AS52" i="7" s="1"/>
  <c r="AR51" i="7"/>
  <c r="AS51" i="7" s="1"/>
  <c r="AR50" i="7"/>
  <c r="AS50" i="7" s="1"/>
  <c r="AR49" i="7"/>
  <c r="AS49" i="7" s="1"/>
  <c r="AR48" i="7"/>
  <c r="AS48" i="7" s="1"/>
  <c r="AR47" i="7"/>
  <c r="AS47" i="7" s="1"/>
  <c r="AR43" i="7"/>
  <c r="AS43" i="7" s="1"/>
  <c r="AR42" i="7"/>
  <c r="AS42" i="7" s="1"/>
  <c r="AR40" i="7"/>
  <c r="AS40" i="7" s="1"/>
  <c r="AR39" i="7"/>
  <c r="AS39" i="7" s="1"/>
  <c r="AS38" i="7"/>
  <c r="AR37" i="7"/>
  <c r="AS37" i="7" s="1"/>
  <c r="AS34" i="7"/>
  <c r="AP32" i="7"/>
  <c r="AS33" i="7"/>
  <c r="AR32" i="7"/>
  <c r="AS32" i="7" s="1"/>
  <c r="AR13" i="7"/>
  <c r="AS13" i="7" s="1"/>
  <c r="AP13" i="7"/>
  <c r="AR12" i="7"/>
  <c r="AS12" i="7" s="1"/>
  <c r="AR30" i="7"/>
  <c r="AS30" i="7" s="1"/>
  <c r="AR29" i="7"/>
  <c r="AS29" i="7" s="1"/>
  <c r="AR28" i="7"/>
  <c r="AS28" i="7" s="1"/>
  <c r="AR27" i="7"/>
  <c r="AS27" i="7" s="1"/>
  <c r="AR26" i="7"/>
  <c r="AS26" i="7" s="1"/>
  <c r="AR25" i="7"/>
  <c r="AS25" i="7" s="1"/>
  <c r="AR22" i="7"/>
  <c r="AS22" i="7" s="1"/>
  <c r="AR21" i="7"/>
  <c r="AS21" i="7" s="1"/>
  <c r="AR20" i="7"/>
  <c r="AS20" i="7" s="1"/>
  <c r="AR19" i="7"/>
  <c r="AS19" i="7" s="1"/>
  <c r="AR18" i="7"/>
  <c r="AS18" i="7" s="1"/>
  <c r="AR17" i="7"/>
  <c r="AS17" i="7" s="1"/>
  <c r="AR16" i="7"/>
  <c r="AS16" i="7" s="1"/>
  <c r="AR14" i="7"/>
  <c r="AS14" i="7" s="1"/>
  <c r="AR11" i="7"/>
  <c r="AS11" i="7" s="1"/>
  <c r="AR10" i="7"/>
  <c r="AS10" i="7" s="1"/>
  <c r="AP10" i="7"/>
  <c r="AR7" i="7"/>
  <c r="AB68" i="6"/>
  <c r="AB66" i="6"/>
  <c r="AB67" i="6"/>
  <c r="AB65" i="6"/>
  <c r="AB64" i="6"/>
  <c r="AB63" i="6"/>
  <c r="AB62" i="6" s="1"/>
  <c r="AB58" i="6"/>
  <c r="AB57" i="6"/>
  <c r="AB55" i="6"/>
  <c r="AB52" i="6"/>
  <c r="AB53" i="6"/>
  <c r="AB51" i="6"/>
  <c r="AB48" i="6"/>
  <c r="AB46" i="6"/>
  <c r="AA47" i="6"/>
  <c r="AB47" i="6"/>
  <c r="AB45" i="6"/>
  <c r="AB44" i="6"/>
  <c r="AB42" i="6"/>
  <c r="AB41" i="6"/>
  <c r="AB40" i="6" s="1"/>
  <c r="AB36" i="6"/>
  <c r="AB34" i="6"/>
  <c r="AB32" i="6"/>
  <c r="AB31" i="6"/>
  <c r="AB30" i="6"/>
  <c r="AB28" i="6"/>
  <c r="AB27" i="6"/>
  <c r="AB26" i="6"/>
  <c r="AB25" i="6"/>
  <c r="AB24" i="6"/>
  <c r="AB23" i="6" s="1"/>
  <c r="AB22" i="6"/>
  <c r="AB21" i="6"/>
  <c r="AB20" i="6"/>
  <c r="AB19" i="6"/>
  <c r="AB14" i="6"/>
  <c r="AB13" i="6"/>
  <c r="AB12" i="6"/>
  <c r="AB11" i="6"/>
  <c r="AB10" i="6"/>
  <c r="AB9" i="6"/>
  <c r="AP57" i="5"/>
  <c r="AQ57" i="5" s="1"/>
  <c r="AP55" i="5"/>
  <c r="AP54" i="5"/>
  <c r="AR59" i="5"/>
  <c r="AS59" i="5" s="1"/>
  <c r="AR57" i="5"/>
  <c r="AS57" i="5" s="1"/>
  <c r="AR39" i="5"/>
  <c r="AS39" i="5" s="1"/>
  <c r="AR51" i="5"/>
  <c r="AR33" i="5"/>
  <c r="AS33" i="5" s="1"/>
  <c r="AR31" i="5"/>
  <c r="AS31" i="5" s="1"/>
  <c r="AR29" i="5"/>
  <c r="AS29" i="5" s="1"/>
  <c r="AR28" i="5"/>
  <c r="AR27" i="5"/>
  <c r="AS27" i="5" s="1"/>
  <c r="AR24" i="5"/>
  <c r="AS24" i="5" s="1"/>
  <c r="AR23" i="5"/>
  <c r="AS23" i="5" s="1"/>
  <c r="AR22" i="5"/>
  <c r="AS22" i="5" s="1"/>
  <c r="AR21" i="5"/>
  <c r="AP9" i="5"/>
  <c r="AQ9" i="5" s="1"/>
  <c r="AR20" i="5"/>
  <c r="AS20" i="5" s="1"/>
  <c r="AR13" i="5"/>
  <c r="AS13" i="5" s="1"/>
  <c r="AR9" i="5"/>
  <c r="AS9" i="5" s="1"/>
  <c r="AB18" i="6" l="1"/>
  <c r="AS59" i="7"/>
  <c r="AS31" i="7"/>
  <c r="AS41" i="7" s="1"/>
  <c r="AS44" i="7" s="1"/>
  <c r="AR59" i="7"/>
  <c r="AR73" i="7"/>
  <c r="AS62" i="7"/>
  <c r="AP31" i="7"/>
  <c r="AP41" i="7" s="1"/>
  <c r="AP44" i="7" s="1"/>
  <c r="AR31" i="7"/>
  <c r="AR41" i="7" s="1"/>
  <c r="AS7" i="7"/>
  <c r="AB15" i="6"/>
  <c r="AR55" i="5"/>
  <c r="AS21" i="5"/>
  <c r="AP17" i="5"/>
  <c r="AP52" i="5" s="1"/>
  <c r="AP56" i="5" s="1"/>
  <c r="AP58" i="5" s="1"/>
  <c r="AP60" i="5" s="1"/>
  <c r="AR30" i="5"/>
  <c r="AS28" i="5"/>
  <c r="AR54" i="5"/>
  <c r="AS54" i="5" s="1"/>
  <c r="AR17" i="5"/>
  <c r="O51" i="2"/>
  <c r="O50" i="2"/>
  <c r="O49" i="2"/>
  <c r="O47" i="2"/>
  <c r="O46" i="2"/>
  <c r="O45" i="2"/>
  <c r="O41" i="2"/>
  <c r="O40" i="2"/>
  <c r="O39" i="2"/>
  <c r="O33" i="2"/>
  <c r="O32" i="2"/>
  <c r="O31" i="2"/>
  <c r="O29" i="2"/>
  <c r="O28" i="2"/>
  <c r="O27" i="2"/>
  <c r="O37" i="2" l="1"/>
  <c r="O36" i="2"/>
  <c r="O35" i="2"/>
  <c r="AS17" i="5"/>
  <c r="AR25" i="5"/>
  <c r="AS25" i="5" s="1"/>
  <c r="AR52" i="5"/>
  <c r="AR32" i="5"/>
  <c r="AS30" i="5"/>
  <c r="AS55" i="5"/>
  <c r="AR44" i="7"/>
  <c r="O18" i="2"/>
  <c r="O17" i="2"/>
  <c r="O13" i="2"/>
  <c r="O14" i="2" s="1"/>
  <c r="O12" i="2"/>
  <c r="O8" i="2"/>
  <c r="O24" i="2"/>
  <c r="S78" i="7"/>
  <c r="U78" i="7"/>
  <c r="W78" i="7"/>
  <c r="W76" i="7"/>
  <c r="U76" i="7"/>
  <c r="S76" i="7"/>
  <c r="AO76" i="7"/>
  <c r="AM76" i="7"/>
  <c r="AK76" i="7"/>
  <c r="AI76" i="7"/>
  <c r="AG76" i="7"/>
  <c r="AE76" i="7"/>
  <c r="AC76" i="7"/>
  <c r="AA76" i="7"/>
  <c r="Y76" i="7"/>
  <c r="Y78" i="7"/>
  <c r="AA78" i="7"/>
  <c r="AC78" i="7"/>
  <c r="AE78" i="7"/>
  <c r="AG78" i="7"/>
  <c r="AI78" i="7"/>
  <c r="AM78" i="7"/>
  <c r="AK78" i="7"/>
  <c r="AS52" i="5" l="1"/>
  <c r="AR56" i="5"/>
  <c r="AS56" i="5" s="1"/>
  <c r="AR58" i="5"/>
  <c r="AR34" i="5"/>
  <c r="AS32" i="5"/>
  <c r="AR75" i="7"/>
  <c r="AR78" i="7" s="1"/>
  <c r="AS78" i="7" s="1"/>
  <c r="C76" i="7"/>
  <c r="D76" i="7"/>
  <c r="E76" i="7"/>
  <c r="F76" i="7"/>
  <c r="G76" i="7"/>
  <c r="H76" i="7"/>
  <c r="I76" i="7"/>
  <c r="J76" i="7"/>
  <c r="K76" i="7"/>
  <c r="L76" i="7"/>
  <c r="M76" i="7"/>
  <c r="N76" i="7"/>
  <c r="AO78" i="7"/>
  <c r="AQ77" i="7"/>
  <c r="AQ76" i="7"/>
  <c r="AQ78" i="7"/>
  <c r="AQ10" i="7"/>
  <c r="AQ11" i="7"/>
  <c r="AQ12" i="7"/>
  <c r="AQ13" i="7"/>
  <c r="AQ16" i="7"/>
  <c r="AQ17" i="7"/>
  <c r="AQ18" i="7"/>
  <c r="AQ20" i="7"/>
  <c r="AQ22" i="7"/>
  <c r="AQ25" i="7"/>
  <c r="AQ27" i="7"/>
  <c r="AQ28" i="7"/>
  <c r="AQ29" i="7"/>
  <c r="AQ30" i="7"/>
  <c r="AQ31" i="7"/>
  <c r="AQ32" i="7"/>
  <c r="AQ33" i="7"/>
  <c r="AQ34" i="7"/>
  <c r="AQ37" i="7"/>
  <c r="AQ38" i="7"/>
  <c r="AQ39" i="7"/>
  <c r="AQ42" i="7"/>
  <c r="AQ43" i="7"/>
  <c r="AQ47" i="7"/>
  <c r="AQ48" i="7"/>
  <c r="AQ49" i="7"/>
  <c r="AQ50" i="7"/>
  <c r="AQ51" i="7"/>
  <c r="AQ52" i="7"/>
  <c r="AQ53" i="7"/>
  <c r="AQ54" i="7"/>
  <c r="AQ55" i="7"/>
  <c r="AQ56" i="7"/>
  <c r="AQ64" i="7"/>
  <c r="AQ65" i="7"/>
  <c r="AQ69" i="7"/>
  <c r="AQ7" i="7"/>
  <c r="AO73" i="7"/>
  <c r="AN73" i="7"/>
  <c r="N68" i="7"/>
  <c r="AQ68" i="7" s="1"/>
  <c r="O68" i="7" s="1"/>
  <c r="AS68" i="7" s="1"/>
  <c r="N67" i="7"/>
  <c r="AQ67" i="7" s="1"/>
  <c r="O67" i="7" s="1"/>
  <c r="AS67" i="7" s="1"/>
  <c r="N66" i="7"/>
  <c r="AQ66" i="7" s="1"/>
  <c r="O66" i="7" s="1"/>
  <c r="N63" i="7"/>
  <c r="AQ63" i="7" s="1"/>
  <c r="N62" i="7"/>
  <c r="N57" i="7"/>
  <c r="N59" i="7" s="1"/>
  <c r="N40" i="7"/>
  <c r="N41" i="7" s="1"/>
  <c r="N26" i="7"/>
  <c r="AQ26" i="7" s="1"/>
  <c r="N21" i="7"/>
  <c r="AQ21" i="7" s="1"/>
  <c r="N19" i="7"/>
  <c r="AQ19" i="7" s="1"/>
  <c r="N14" i="7"/>
  <c r="AQ14" i="7" s="1"/>
  <c r="Z63" i="6"/>
  <c r="Z62" i="6" s="1"/>
  <c r="Y62" i="6"/>
  <c r="AA64" i="6"/>
  <c r="AA62" i="6" s="1"/>
  <c r="AQ62" i="7" l="1"/>
  <c r="AR35" i="5"/>
  <c r="AS34" i="5"/>
  <c r="AR60" i="5"/>
  <c r="AS60" i="5" s="1"/>
  <c r="AS58" i="5"/>
  <c r="N44" i="7"/>
  <c r="AQ44" i="7" s="1"/>
  <c r="AQ41" i="7"/>
  <c r="AS66" i="7"/>
  <c r="AQ40" i="7"/>
  <c r="AQ57" i="7"/>
  <c r="AA28" i="6"/>
  <c r="AA23" i="6" s="1"/>
  <c r="AA22" i="6"/>
  <c r="AA18" i="6" s="1"/>
  <c r="Y27" i="6"/>
  <c r="Y28" i="6"/>
  <c r="Y22" i="6"/>
  <c r="AA40" i="6"/>
  <c r="AA15" i="6"/>
  <c r="AQ55" i="5"/>
  <c r="AQ59" i="5"/>
  <c r="AQ13" i="5"/>
  <c r="AQ20" i="5"/>
  <c r="AQ21" i="5"/>
  <c r="AQ22" i="5"/>
  <c r="AQ27" i="5"/>
  <c r="AQ28" i="5"/>
  <c r="AQ29" i="5"/>
  <c r="AQ31" i="5"/>
  <c r="AQ33" i="5"/>
  <c r="AQ39" i="5"/>
  <c r="AQ44" i="5"/>
  <c r="AQ51" i="5"/>
  <c r="N55" i="5"/>
  <c r="N54" i="5"/>
  <c r="AQ54" i="5" s="1"/>
  <c r="N52" i="5"/>
  <c r="N30" i="5"/>
  <c r="N24" i="5"/>
  <c r="N23" i="5"/>
  <c r="N25" i="5" s="1"/>
  <c r="N16" i="5"/>
  <c r="AQ16" i="5" s="1"/>
  <c r="N15" i="5"/>
  <c r="AQ15" i="5" s="1"/>
  <c r="N14" i="5"/>
  <c r="AQ14" i="5" s="1"/>
  <c r="N12" i="5"/>
  <c r="AQ12" i="5" s="1"/>
  <c r="N11" i="5"/>
  <c r="AQ11" i="5" s="1"/>
  <c r="N10" i="5"/>
  <c r="AQ10" i="5" s="1"/>
  <c r="N27" i="1"/>
  <c r="N25" i="1"/>
  <c r="O16" i="1"/>
  <c r="N56" i="5" l="1"/>
  <c r="AQ56" i="5" s="1"/>
  <c r="AQ23" i="5"/>
  <c r="AR38" i="5"/>
  <c r="AS35" i="5"/>
  <c r="BR48" i="2"/>
  <c r="BR44" i="2"/>
  <c r="BR38" i="2"/>
  <c r="BR34" i="2"/>
  <c r="BR30" i="2"/>
  <c r="BR26" i="2"/>
  <c r="N58" i="5" l="1"/>
  <c r="N60" i="5" s="1"/>
  <c r="AR40" i="5"/>
  <c r="AS40" i="5" s="1"/>
  <c r="AS38" i="5"/>
  <c r="AR43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P48" i="2"/>
  <c r="BQ48" i="2"/>
  <c r="BO48" i="2"/>
  <c r="O48" i="2" s="1"/>
  <c r="BP44" i="2"/>
  <c r="BQ44" i="2"/>
  <c r="BO44" i="2"/>
  <c r="BP38" i="2"/>
  <c r="BQ38" i="2"/>
  <c r="BO38" i="2"/>
  <c r="O38" i="2" s="1"/>
  <c r="BP34" i="2"/>
  <c r="BQ34" i="2"/>
  <c r="BO34" i="2"/>
  <c r="BP30" i="2"/>
  <c r="BQ30" i="2"/>
  <c r="BO30" i="2"/>
  <c r="BP26" i="2"/>
  <c r="BQ26" i="2"/>
  <c r="BO26" i="2"/>
  <c r="O26" i="2" s="1"/>
  <c r="N8" i="2"/>
  <c r="N12" i="2"/>
  <c r="N13" i="2"/>
  <c r="N17" i="2"/>
  <c r="N18" i="2"/>
  <c r="N7" i="2"/>
  <c r="O44" i="2" l="1"/>
  <c r="N14" i="2"/>
  <c r="O34" i="2"/>
  <c r="AR45" i="5"/>
  <c r="AS45" i="5" s="1"/>
  <c r="AS43" i="5"/>
  <c r="O30" i="2"/>
  <c r="BP24" i="2"/>
  <c r="BQ24" i="2"/>
  <c r="BO24" i="2"/>
  <c r="N24" i="2"/>
  <c r="AP30" i="5" l="1"/>
  <c r="AQ30" i="5" s="1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AP24" i="5"/>
  <c r="AQ24" i="5" s="1"/>
  <c r="Y40" i="6"/>
  <c r="AP51" i="5"/>
  <c r="AQ17" i="5" l="1"/>
  <c r="AP73" i="7"/>
  <c r="AP59" i="7"/>
  <c r="Z40" i="6"/>
  <c r="Z15" i="6"/>
  <c r="AP25" i="5"/>
  <c r="AQ25" i="5" s="1"/>
  <c r="AP75" i="7" l="1"/>
  <c r="AQ59" i="7"/>
  <c r="AQ52" i="5"/>
  <c r="AP32" i="5"/>
  <c r="AQ32" i="5" s="1"/>
  <c r="AP34" i="5" l="1"/>
  <c r="AQ34" i="5" s="1"/>
  <c r="AQ60" i="5" l="1"/>
  <c r="AQ58" i="5"/>
  <c r="AP35" i="5"/>
  <c r="AQ35" i="5" l="1"/>
  <c r="AP38" i="5"/>
  <c r="AP43" i="5" s="1"/>
  <c r="AQ38" i="5"/>
  <c r="M10" i="7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2" i="7"/>
  <c r="M63" i="7"/>
  <c r="M64" i="7"/>
  <c r="M65" i="7"/>
  <c r="M66" i="7"/>
  <c r="M67" i="7"/>
  <c r="M68" i="7"/>
  <c r="M69" i="7"/>
  <c r="M77" i="7"/>
  <c r="M7" i="7"/>
  <c r="M57" i="5"/>
  <c r="M59" i="5"/>
  <c r="M10" i="5"/>
  <c r="M11" i="5"/>
  <c r="M12" i="5"/>
  <c r="M13" i="5"/>
  <c r="M14" i="5"/>
  <c r="M15" i="5"/>
  <c r="M16" i="5"/>
  <c r="M17" i="5"/>
  <c r="M20" i="5"/>
  <c r="M21" i="5"/>
  <c r="M22" i="5"/>
  <c r="M23" i="5"/>
  <c r="M24" i="5"/>
  <c r="M27" i="5"/>
  <c r="M28" i="5"/>
  <c r="M29" i="5"/>
  <c r="M31" i="5"/>
  <c r="M32" i="5"/>
  <c r="M33" i="5"/>
  <c r="M37" i="5"/>
  <c r="M38" i="5"/>
  <c r="M39" i="5"/>
  <c r="M41" i="5"/>
  <c r="M42" i="5"/>
  <c r="M43" i="5"/>
  <c r="M44" i="5"/>
  <c r="M9" i="5"/>
  <c r="M73" i="7" l="1"/>
  <c r="M59" i="7"/>
  <c r="AP40" i="5"/>
  <c r="AQ40" i="5" s="1"/>
  <c r="AQ43" i="5"/>
  <c r="AP45" i="5" l="1"/>
  <c r="AQ45" i="5" s="1"/>
  <c r="AN59" i="7"/>
  <c r="AN31" i="7"/>
  <c r="X68" i="6"/>
  <c r="X53" i="6"/>
  <c r="X40" i="6"/>
  <c r="X15" i="6"/>
  <c r="AN55" i="5"/>
  <c r="M55" i="5" s="1"/>
  <c r="AN54" i="5"/>
  <c r="M54" i="5" s="1"/>
  <c r="AN52" i="5"/>
  <c r="AN45" i="5"/>
  <c r="M45" i="5" s="1"/>
  <c r="AN40" i="5"/>
  <c r="M40" i="5" s="1"/>
  <c r="AN34" i="5"/>
  <c r="AN30" i="5"/>
  <c r="M30" i="5" s="1"/>
  <c r="AN25" i="5"/>
  <c r="M25" i="5" s="1"/>
  <c r="M48" i="1"/>
  <c r="M34" i="1"/>
  <c r="AN35" i="5" l="1"/>
  <c r="M35" i="5" s="1"/>
  <c r="M34" i="5"/>
  <c r="AN56" i="5"/>
  <c r="M52" i="5"/>
  <c r="M56" i="5" s="1"/>
  <c r="AN41" i="7"/>
  <c r="M31" i="7"/>
  <c r="L77" i="7"/>
  <c r="L70" i="7"/>
  <c r="L69" i="7"/>
  <c r="L68" i="7"/>
  <c r="L67" i="7"/>
  <c r="L66" i="7"/>
  <c r="L65" i="7"/>
  <c r="L64" i="7"/>
  <c r="L63" i="7"/>
  <c r="L62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L73" i="7" l="1"/>
  <c r="L59" i="7"/>
  <c r="L75" i="7" s="1"/>
  <c r="AN58" i="5"/>
  <c r="AN44" i="7"/>
  <c r="M41" i="7"/>
  <c r="W40" i="6"/>
  <c r="L59" i="5"/>
  <c r="L60" i="5"/>
  <c r="M10" i="1" s="1"/>
  <c r="AM52" i="5"/>
  <c r="AM54" i="5"/>
  <c r="AM55" i="5"/>
  <c r="AL54" i="5"/>
  <c r="AL55" i="5"/>
  <c r="AL57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20" i="5"/>
  <c r="L21" i="5"/>
  <c r="L22" i="5"/>
  <c r="L23" i="5"/>
  <c r="L24" i="5"/>
  <c r="L25" i="5"/>
  <c r="L27" i="5"/>
  <c r="L28" i="5"/>
  <c r="L29" i="5"/>
  <c r="L30" i="5"/>
  <c r="L31" i="5"/>
  <c r="L32" i="5"/>
  <c r="L33" i="5"/>
  <c r="L34" i="5"/>
  <c r="L35" i="5"/>
  <c r="M12" i="1" s="1"/>
  <c r="L36" i="5"/>
  <c r="L37" i="5"/>
  <c r="L38" i="5"/>
  <c r="L39" i="5"/>
  <c r="L40" i="5"/>
  <c r="L41" i="5"/>
  <c r="L42" i="5"/>
  <c r="L43" i="5"/>
  <c r="L44" i="5"/>
  <c r="L45" i="5"/>
  <c r="L6" i="5"/>
  <c r="K6" i="5"/>
  <c r="AN60" i="5" l="1"/>
  <c r="M60" i="5" s="1"/>
  <c r="M58" i="5"/>
  <c r="AN75" i="7"/>
  <c r="M44" i="7"/>
  <c r="M75" i="7" s="1"/>
  <c r="L55" i="5"/>
  <c r="L54" i="5"/>
  <c r="AM56" i="5"/>
  <c r="AM58" i="5" s="1"/>
  <c r="L57" i="5"/>
  <c r="M12" i="2"/>
  <c r="M37" i="1" s="1"/>
  <c r="M50" i="2"/>
  <c r="M46" i="2" l="1"/>
  <c r="M45" i="2"/>
  <c r="M40" i="2"/>
  <c r="M39" i="2"/>
  <c r="M7" i="2"/>
  <c r="M32" i="1" s="1"/>
  <c r="AL52" i="5" l="1"/>
  <c r="V22" i="6"/>
  <c r="V18" i="6" s="1"/>
  <c r="L52" i="5" l="1"/>
  <c r="L56" i="5" s="1"/>
  <c r="AL56" i="5"/>
  <c r="BH44" i="2"/>
  <c r="BG44" i="2"/>
  <c r="M44" i="2" s="1"/>
  <c r="BF44" i="2"/>
  <c r="BE44" i="2"/>
  <c r="BD44" i="2"/>
  <c r="BC44" i="2"/>
  <c r="L45" i="2"/>
  <c r="L46" i="2"/>
  <c r="AL58" i="5" l="1"/>
  <c r="L58" i="5" s="1"/>
  <c r="M11" i="1" s="1"/>
  <c r="M32" i="2" l="1"/>
  <c r="M31" i="2"/>
  <c r="BH30" i="2"/>
  <c r="BG30" i="2"/>
  <c r="M30" i="2" l="1"/>
  <c r="K77" i="7" l="1"/>
  <c r="J77" i="7"/>
  <c r="I77" i="7"/>
  <c r="H77" i="7"/>
  <c r="G77" i="7"/>
  <c r="F77" i="7"/>
  <c r="E77" i="7"/>
  <c r="D77" i="7"/>
  <c r="C77" i="7"/>
  <c r="B77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F73" i="7" s="1"/>
  <c r="E62" i="7"/>
  <c r="D62" i="7"/>
  <c r="C62" i="7"/>
  <c r="B62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60" i="5"/>
  <c r="J60" i="5"/>
  <c r="I60" i="5"/>
  <c r="H60" i="5"/>
  <c r="G60" i="5"/>
  <c r="F60" i="5"/>
  <c r="E60" i="5"/>
  <c r="D60" i="5"/>
  <c r="C60" i="5"/>
  <c r="B60" i="5"/>
  <c r="K59" i="5"/>
  <c r="J59" i="5"/>
  <c r="I59" i="5"/>
  <c r="H59" i="5"/>
  <c r="G59" i="5"/>
  <c r="F59" i="5"/>
  <c r="E59" i="5"/>
  <c r="D59" i="5"/>
  <c r="C59" i="5"/>
  <c r="B59" i="5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2" i="5"/>
  <c r="J52" i="5"/>
  <c r="J56" i="5" s="1"/>
  <c r="I52" i="5"/>
  <c r="I56" i="5" s="1"/>
  <c r="H52" i="5"/>
  <c r="H56" i="5" s="1"/>
  <c r="G52" i="5"/>
  <c r="F52" i="5"/>
  <c r="E52" i="5"/>
  <c r="D52" i="5"/>
  <c r="C52" i="5"/>
  <c r="B52" i="5"/>
  <c r="B56" i="5" s="1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L12" i="1" s="1"/>
  <c r="J35" i="5"/>
  <c r="K12" i="1" s="1"/>
  <c r="I35" i="5"/>
  <c r="J12" i="1" s="1"/>
  <c r="H35" i="5"/>
  <c r="I12" i="1" s="1"/>
  <c r="G35" i="5"/>
  <c r="H12" i="1" s="1"/>
  <c r="F35" i="5"/>
  <c r="G12" i="1" s="1"/>
  <c r="E35" i="5"/>
  <c r="F12" i="1" s="1"/>
  <c r="D35" i="5"/>
  <c r="E12" i="1" s="1"/>
  <c r="C35" i="5"/>
  <c r="D12" i="1" s="1"/>
  <c r="B35" i="5"/>
  <c r="C12" i="1" s="1"/>
  <c r="K34" i="5"/>
  <c r="J34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I48" i="2"/>
  <c r="K46" i="2"/>
  <c r="J46" i="2"/>
  <c r="K45" i="2"/>
  <c r="J45" i="2"/>
  <c r="BB44" i="2"/>
  <c r="BA44" i="2"/>
  <c r="AZ44" i="2"/>
  <c r="AY44" i="2"/>
  <c r="AX44" i="2"/>
  <c r="AW44" i="2"/>
  <c r="AV44" i="2"/>
  <c r="AU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I38" i="2"/>
  <c r="H38" i="2"/>
  <c r="G38" i="2"/>
  <c r="F38" i="2"/>
  <c r="E38" i="2"/>
  <c r="D38" i="2"/>
  <c r="L32" i="2"/>
  <c r="K32" i="2"/>
  <c r="J32" i="2"/>
  <c r="L31" i="2"/>
  <c r="K31" i="2"/>
  <c r="J31" i="2"/>
  <c r="BF30" i="2"/>
  <c r="BE30" i="2"/>
  <c r="BD30" i="2"/>
  <c r="BC30" i="2"/>
  <c r="BB30" i="2"/>
  <c r="BA30" i="2"/>
  <c r="AZ30" i="2"/>
  <c r="AY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H26" i="2"/>
  <c r="BG26" i="2"/>
  <c r="BF26" i="2"/>
  <c r="BE26" i="2"/>
  <c r="BD26" i="2"/>
  <c r="BC26" i="2"/>
  <c r="BB26" i="2"/>
  <c r="BA26" i="2"/>
  <c r="AZ26" i="2"/>
  <c r="AY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M48" i="2" l="1"/>
  <c r="G73" i="7"/>
  <c r="H73" i="7"/>
  <c r="C56" i="5"/>
  <c r="K56" i="5"/>
  <c r="I73" i="7"/>
  <c r="I75" i="7" s="1"/>
  <c r="D56" i="5"/>
  <c r="B73" i="7"/>
  <c r="B75" i="7" s="1"/>
  <c r="J73" i="7"/>
  <c r="E56" i="5"/>
  <c r="C73" i="7"/>
  <c r="K73" i="7"/>
  <c r="F56" i="5"/>
  <c r="D73" i="7"/>
  <c r="G56" i="5"/>
  <c r="E73" i="7"/>
  <c r="E75" i="7" s="1"/>
  <c r="B59" i="7"/>
  <c r="C59" i="7"/>
  <c r="D59" i="7"/>
  <c r="E59" i="7"/>
  <c r="F59" i="7"/>
  <c r="G59" i="7"/>
  <c r="G75" i="7" s="1"/>
  <c r="H59" i="7"/>
  <c r="H75" i="7" s="1"/>
  <c r="I59" i="7"/>
  <c r="J59" i="7"/>
  <c r="J75" i="7" s="1"/>
  <c r="K59" i="7"/>
  <c r="K75" i="7" s="1"/>
  <c r="C75" i="7"/>
  <c r="J48" i="2"/>
  <c r="D75" i="7"/>
  <c r="F75" i="7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  <c r="N70" i="7"/>
  <c r="O70" i="7"/>
  <c r="P70" i="7"/>
  <c r="AQ70" i="7"/>
  <c r="AS70" i="7"/>
  <c r="AU70" i="7"/>
  <c r="N73" i="7"/>
  <c r="O73" i="7"/>
  <c r="P73" i="7"/>
  <c r="AQ73" i="7"/>
  <c r="AS73" i="7"/>
  <c r="AU73" i="7"/>
  <c r="N75" i="7"/>
  <c r="O75" i="7"/>
  <c r="P75" i="7"/>
  <c r="AQ75" i="7"/>
  <c r="AS75" i="7"/>
  <c r="AU75" i="7"/>
</calcChain>
</file>

<file path=xl/sharedStrings.xml><?xml version="1.0" encoding="utf-8"?>
<sst xmlns="http://schemas.openxmlformats.org/spreadsheetml/2006/main" count="581" uniqueCount="325">
  <si>
    <t>EBITDA</t>
  </si>
  <si>
    <t>x</t>
  </si>
  <si>
    <t> </t>
  </si>
  <si>
    <t>%</t>
  </si>
  <si>
    <t>-</t>
  </si>
  <si>
    <t xml:space="preserve">ir@etalongroup.com 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</si>
  <si>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</si>
  <si>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</si>
  <si>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 xml:space="preserve"> 30.06.2022</t>
  </si>
  <si>
    <t xml:space="preserve"> 30.06.2023</t>
  </si>
  <si>
    <t xml:space="preserve"> 31.12.2023</t>
  </si>
  <si>
    <t>n/a</t>
  </si>
  <si>
    <t>IR-команда</t>
  </si>
  <si>
    <t>СОДЕРЖАНИЕ</t>
  </si>
  <si>
    <t>Обзор</t>
  </si>
  <si>
    <t>Операционные результаты</t>
  </si>
  <si>
    <t>Основные операционные показатели</t>
  </si>
  <si>
    <t>Основные операционные показатели по регионам</t>
  </si>
  <si>
    <t xml:space="preserve">EBITDA </t>
  </si>
  <si>
    <t>Финансовая отчетность (IFRS)</t>
  </si>
  <si>
    <t>Консолидированный отчет о прибыли и убытке</t>
  </si>
  <si>
    <t>Консолидированный отчет о финансовом положении</t>
  </si>
  <si>
    <t>Консолидированный отчет о движении денежных средств</t>
  </si>
  <si>
    <t>К содержанию</t>
  </si>
  <si>
    <t>Выручка</t>
  </si>
  <si>
    <t>Валовая прибыль</t>
  </si>
  <si>
    <t>Чистая прибыль</t>
  </si>
  <si>
    <t>ОТЧЕТ О ФИНАНСОВОМ ПОЛОЖЕНИИ</t>
  </si>
  <si>
    <t>Валовый долг</t>
  </si>
  <si>
    <t>Корпоративный долг</t>
  </si>
  <si>
    <t>Проектный долг</t>
  </si>
  <si>
    <t>Денежные средства на эскроу</t>
  </si>
  <si>
    <t>Чистый корпоративный долг (денежная позиция)</t>
  </si>
  <si>
    <t>Чистый корпоративный долг/pre-PPA EBITDA</t>
  </si>
  <si>
    <t>млн руб.</t>
  </si>
  <si>
    <t>руб./кв. м</t>
  </si>
  <si>
    <t>ОТЧЕТ О ДВИЖЕНИИ ДЕНЕЖНЫХ СРЕДСТВ</t>
  </si>
  <si>
    <t xml:space="preserve">OCF с учетом поступлений на эскроу </t>
  </si>
  <si>
    <t>Свободный денежный поток (FCF)</t>
  </si>
  <si>
    <t>FCF с учетом поступлений на эскроу</t>
  </si>
  <si>
    <t>Денежные поступления на эскроу</t>
  </si>
  <si>
    <t>ПРОДАЖИ И ДЕНЕЖНЫЕ ПОСТУПЛЕНИЯ</t>
  </si>
  <si>
    <t>Денежные поступления</t>
  </si>
  <si>
    <t>Средняя цена</t>
  </si>
  <si>
    <t>Количество новых договоров</t>
  </si>
  <si>
    <t>Количество ипотечных договоров</t>
  </si>
  <si>
    <t>ЗАКЛЮЧЕННЫЕ ДОГОВОРЫ И ИПОТЕЧНЫЕ ПРОДАЖИ</t>
  </si>
  <si>
    <t>Доля ипотечных продаж</t>
  </si>
  <si>
    <t>ПРОДАЖИ И ВВОД В ЭКСПЛУАТАЦИЮ</t>
  </si>
  <si>
    <t xml:space="preserve">Продажи   </t>
  </si>
  <si>
    <t>Ввод в эксплуатацию</t>
  </si>
  <si>
    <t>кв. м</t>
  </si>
  <si>
    <t>ПОРТФЕЛЬ ПРОЕКТОВ</t>
  </si>
  <si>
    <t>Рыночная стоимость активов</t>
  </si>
  <si>
    <t>Рыночная стоимость портфеля проектов</t>
  </si>
  <si>
    <t>Нереализованная чистая продаваемая площадь (NSA)</t>
  </si>
  <si>
    <t>тыс. кв. м</t>
  </si>
  <si>
    <t xml:space="preserve">Продажи    </t>
  </si>
  <si>
    <t>1 кв. 2011</t>
  </si>
  <si>
    <t>2 кв. 2011</t>
  </si>
  <si>
    <t>3 кв. 2011</t>
  </si>
  <si>
    <t>4 кв. 2011</t>
  </si>
  <si>
    <t>1 кв. 2012</t>
  </si>
  <si>
    <t>2 кв. 2012</t>
  </si>
  <si>
    <t>3 кв. 2012</t>
  </si>
  <si>
    <t>4 кв. 2012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</si>
  <si>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</si>
  <si>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</si>
  <si>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</si>
  <si>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</si>
  <si>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</si>
  <si>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</si>
  <si>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</si>
  <si>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</si>
  <si>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</si>
  <si>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</si>
  <si>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</si>
  <si>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</si>
  <si>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1 кв. 2016</t>
  </si>
  <si>
    <t>2 кв. 2016</t>
  </si>
  <si>
    <t>3 кв. 2016</t>
  </si>
  <si>
    <t>4 кв. 2016</t>
  </si>
  <si>
    <t>1 кв. 2017</t>
  </si>
  <si>
    <t>2 кв. 2017</t>
  </si>
  <si>
    <t>3 кв. 2017</t>
  </si>
  <si>
    <t>4 кв. 2017</t>
  </si>
  <si>
    <t>1 кв. 2018</t>
  </si>
  <si>
    <t>2 кв. 2018</t>
  </si>
  <si>
    <t>3 кв. 2018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</si>
  <si>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</si>
  <si>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</si>
  <si>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</si>
  <si>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</si>
  <si>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</si>
  <si>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</si>
  <si>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</si>
  <si>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</si>
  <si>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4 кв. 2020</t>
  </si>
  <si>
    <t>1 кв. 2021</t>
  </si>
  <si>
    <t>2 кв. 2021</t>
  </si>
  <si>
    <t>3 кв. 2021</t>
  </si>
  <si>
    <t>4 кв. 2021</t>
  </si>
  <si>
    <t>1 кв. 2022</t>
  </si>
  <si>
    <t>2 кв. 2022</t>
  </si>
  <si>
    <t>3 кв. 2022</t>
  </si>
  <si>
    <t>4 кв. 2022</t>
  </si>
  <si>
    <t>4 кв. 2023</t>
  </si>
  <si>
    <t>1 кв. 2024</t>
  </si>
  <si>
    <t>1 кв. 2023</t>
  </si>
  <si>
    <t>2 кв. 2023</t>
  </si>
  <si>
    <t>3 кв. 2023</t>
  </si>
  <si>
    <t>Москва</t>
  </si>
  <si>
    <t>Санкт-Петербург</t>
  </si>
  <si>
    <t>Регионы</t>
  </si>
  <si>
    <t>Консолидированный отчет о прибыли или убытке и прочем совокупном доходе (МСФО)</t>
  </si>
  <si>
    <t>Себестоимость</t>
  </si>
  <si>
    <t xml:space="preserve">Выручка от реализации недвижимости, учитываемой по первоначальной стоимости </t>
  </si>
  <si>
    <t xml:space="preserve">Выручка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   </t>
  </si>
  <si>
    <t>Прочая выручка</t>
  </si>
  <si>
    <t xml:space="preserve">Себестоимость продаж недвижимости, учитываемой по первоначальной стоимости </t>
  </si>
  <si>
    <t>Себестоимость продаж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</si>
  <si>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себестоимость</t>
  </si>
  <si>
    <t>Общехозяйственные и административные расходы</t>
  </si>
  <si>
    <t>Коммерческие расходы</t>
  </si>
  <si>
    <t>Прибыль от выгодной покупки бизнеса</t>
  </si>
  <si>
    <t>Результаты от операционной деятельности</t>
  </si>
  <si>
    <t>Процентные финансовые доходы</t>
  </si>
  <si>
    <t xml:space="preserve">Финансовые доходы - прочее </t>
  </si>
  <si>
    <t>Финансовые расходы</t>
  </si>
  <si>
    <t>Чистые финансовые расходы</t>
  </si>
  <si>
    <t>Доля в прибыли/(убытке) объектов инвестиций, учитываемых методом долевого участия (за вычетом налога на прибыль)</t>
  </si>
  <si>
    <t>Прибыль до налогообложения</t>
  </si>
  <si>
    <t>Прибыль за год</t>
  </si>
  <si>
    <t>Общий совокупный доход за год</t>
  </si>
  <si>
    <t>Прибыль, относимая на:</t>
  </si>
  <si>
    <t>Акционеров компании</t>
  </si>
  <si>
    <t>Неконтролирующие доли участия</t>
  </si>
  <si>
    <t>Итого совокупный доход, относимый на:</t>
  </si>
  <si>
    <t>Консолидированный отчет о финансовом положении (МСФО)</t>
  </si>
  <si>
    <t xml:space="preserve">млн руб. </t>
  </si>
  <si>
    <t>АКТИВЫ</t>
  </si>
  <si>
    <t>Внеоборотные активы</t>
  </si>
  <si>
    <t>Основные средства</t>
  </si>
  <si>
    <t>Нематериальные активы</t>
  </si>
  <si>
    <t>Инвестиционная недвижимость</t>
  </si>
  <si>
    <t>Прочие долгосрочные вложения</t>
  </si>
  <si>
    <t>Торговая и прочая дебиторская задолженность</t>
  </si>
  <si>
    <t>Отложенные налоговые активы</t>
  </si>
  <si>
    <t>Прочие внеоборотные активы</t>
  </si>
  <si>
    <t>Итого внеоборотные активы</t>
  </si>
  <si>
    <t>Оборотные активы</t>
  </si>
  <si>
    <t>Запасы:</t>
  </si>
  <si>
    <t>Запасы в стадии строительства</t>
  </si>
  <si>
    <t>Запасы - готовая продукция</t>
  </si>
  <si>
    <t>Прочие запасы</t>
  </si>
  <si>
    <t>Резерв под обесценение*</t>
  </si>
  <si>
    <t>Активы по договорам, торговая и прочая дебиторская задолженность:</t>
  </si>
  <si>
    <t>Авансы выданные</t>
  </si>
  <si>
    <t xml:space="preserve">Активы по договорам  </t>
  </si>
  <si>
    <t>Торговая дебиторская задолженность</t>
  </si>
  <si>
    <t>Прочая дебиторская задолженность</t>
  </si>
  <si>
    <t>Резерв по сомнительной дебиторской задолженности*</t>
  </si>
  <si>
    <t>Затраты на заключение договоров</t>
  </si>
  <si>
    <t>Прочие краткосрочные вложения</t>
  </si>
  <si>
    <t>Денежные средства и их эквиваленты</t>
  </si>
  <si>
    <t>Прочие оборотные активы</t>
  </si>
  <si>
    <t>Итого оборотные активы</t>
  </si>
  <si>
    <t>Активы на продажу</t>
  </si>
  <si>
    <t>ИТОГО АКТИВЫ</t>
  </si>
  <si>
    <t>КАПИТАЛ И ОБЯЗАТЕЛЬСТВА</t>
  </si>
  <si>
    <t>Собственный капитал и резервы</t>
  </si>
  <si>
    <t>Акционерный капитал:</t>
  </si>
  <si>
    <t xml:space="preserve">Акционерный капитал </t>
  </si>
  <si>
    <t>Добавочный капитал</t>
  </si>
  <si>
    <t>Резерв под собственные акции</t>
  </si>
  <si>
    <t>Нераспределенная прибыль</t>
  </si>
  <si>
    <t>Итого капитал, относимый к собственникам Компании</t>
  </si>
  <si>
    <t xml:space="preserve">Итого капитал   </t>
  </si>
  <si>
    <t>Долгосрочные обязательства</t>
  </si>
  <si>
    <t>Кредиты и займы</t>
  </si>
  <si>
    <t>Обязательства по договорам, торговая и прочая кредиторская задолженность</t>
  </si>
  <si>
    <t>Торговая и прочая кредиторская задолженность</t>
  </si>
  <si>
    <t>Обязательства по договорам</t>
  </si>
  <si>
    <t>Резервы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</si>
  <si>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</si>
  <si>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</si>
  <si>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</si>
  <si>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Итого краткосрочные обязательства</t>
  </si>
  <si>
    <t>ИТОГО КАПИТАЛ И ОБЯЗАТЕЛЬСТВА</t>
  </si>
  <si>
    <t xml:space="preserve">Валовая прибыль от реализации недвижимости, учитываемой по первоначальной стоимости </t>
  </si>
  <si>
    <t>Валовая прибыль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</si>
  <si>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валовая прибыль</t>
  </si>
  <si>
    <t>За вычетом: Общехозяйственных и административных расходов</t>
  </si>
  <si>
    <t>За вычетом: Коммерческих расходов</t>
  </si>
  <si>
    <t>Скорректированная операционная прибыль</t>
  </si>
  <si>
    <t>С учетом: Амортизации</t>
  </si>
  <si>
    <t xml:space="preserve">С учетом: PPA в составе себестоимости </t>
  </si>
  <si>
    <t>EBITDA, скорректированная на PPA</t>
  </si>
  <si>
    <t>Консолидированный отчет о движении денежных средств (МСФО)</t>
  </si>
  <si>
    <t>ОПЕРАЦИОННАЯ ДЕЯТЕЛЬНОСТЬ</t>
  </si>
  <si>
    <t>Корректировки:</t>
  </si>
  <si>
    <t>Амортизация</t>
  </si>
  <si>
    <t>(Прибыль)/убыток от выбытия основных средств</t>
  </si>
  <si>
    <t>Убыток от обесценения инвестиционной недвижимости</t>
  </si>
  <si>
    <t>Доля в (прибыли)/убытке объектов инвестиций, учитываемых методов долевого участия (за вычетом налога на прибыль)</t>
  </si>
  <si>
    <t>Платеж, основанный на акциях, расчеты по которому производятся долевыми инструментами</t>
  </si>
  <si>
    <t>(Прибыль)/убыток от выбытия дочерних организаций</t>
  </si>
  <si>
    <t>Прибыль от выбытия ассоциированных организаций</t>
  </si>
  <si>
    <t>Прибыль от выбытия других инвестиционных активов</t>
  </si>
  <si>
    <t xml:space="preserve">Стоимость объектов социальной инфраструктуры реализованных проектов </t>
  </si>
  <si>
    <t>Значительный компонент финансирования по договорам с покупателями, признанный в составе выручки</t>
  </si>
  <si>
    <t>Экономия на процентах по заключенным договорам проектного финансирования с использованием счетов эскроу, признанная в выручке</t>
  </si>
  <si>
    <t>Финансовые расходы, нетто</t>
  </si>
  <si>
    <t>1П 2011</t>
  </si>
  <si>
    <t>2П 2011</t>
  </si>
  <si>
    <t>1П 2012</t>
  </si>
  <si>
    <t>2П 2012</t>
  </si>
  <si>
    <t>1П 2013</t>
  </si>
  <si>
    <t>2П 2013</t>
  </si>
  <si>
    <t>1П 2014</t>
  </si>
  <si>
    <t>2П 2014</t>
  </si>
  <si>
    <t>1П 2015</t>
  </si>
  <si>
    <t>2П 2015</t>
  </si>
  <si>
    <t>1П 2016</t>
  </si>
  <si>
    <t>2П 2016</t>
  </si>
  <si>
    <t>1П 2017</t>
  </si>
  <si>
    <t>2П 2017</t>
  </si>
  <si>
    <t>1П 2018</t>
  </si>
  <si>
    <t>2П 2018</t>
  </si>
  <si>
    <t>1П 2019</t>
  </si>
  <si>
    <t>2П 2019</t>
  </si>
  <si>
    <t>1П 2020</t>
  </si>
  <si>
    <t>2П 2020</t>
  </si>
  <si>
    <t>1П 2021</t>
  </si>
  <si>
    <t>2П 2021</t>
  </si>
  <si>
    <t>1П 2022</t>
  </si>
  <si>
    <t>2П 2022</t>
  </si>
  <si>
    <t>1П 2023</t>
  </si>
  <si>
    <t>2П 2023</t>
  </si>
  <si>
    <t>Денежные средства от операционной деятельности до учета изменений в оборотном капитале и резервах</t>
  </si>
  <si>
    <t>Изменение запасов</t>
  </si>
  <si>
    <t>Изменение активов по договорам</t>
  </si>
  <si>
    <t>Изменение кредиторской задолженности</t>
  </si>
  <si>
    <t>Изменение обязательств по договорам</t>
  </si>
  <si>
    <t>Изменение резервов</t>
  </si>
  <si>
    <t>Изменение прочих активов</t>
  </si>
  <si>
    <t>Поток денежных средств, использованных в операционной деятельности</t>
  </si>
  <si>
    <t>Налог на прибыль уплаченный</t>
  </si>
  <si>
    <t>Проценты уплаченные</t>
  </si>
  <si>
    <t>Чистый поток денежных средств, использованных в операционной деятельности</t>
  </si>
  <si>
    <t>ИНВЕСТИЦИОННАЯ ДЕЯТЕЛЬНОСТЬ</t>
  </si>
  <si>
    <t>Поступления от выбытия основных средств</t>
  </si>
  <si>
    <t>Поступления от выбытия инвестиционной недвижимости</t>
  </si>
  <si>
    <t>Проценты полученные</t>
  </si>
  <si>
    <t>Приобретение основных средств и нематериальных активов</t>
  </si>
  <si>
    <t>Выдача займов</t>
  </si>
  <si>
    <t>Погашение займов выданных</t>
  </si>
  <si>
    <t>Доход от выбытия дочерних организаций за вычетом выбывших денежных средств</t>
  </si>
  <si>
    <t>Инвестиции в ассоциированные организации и дочерние предприятия</t>
  </si>
  <si>
    <t>Прочие инвестиции</t>
  </si>
  <si>
    <t>Выбытие прочих инвестиций</t>
  </si>
  <si>
    <t>Чистый поток денежных средств, (использованных в)/от инвестиционной деятельности</t>
  </si>
  <si>
    <t>ФИНАНСОВАЯ ДЕЯТЕЛЬНОСТЬ</t>
  </si>
  <si>
    <t>Поступления от IPO</t>
  </si>
  <si>
    <t>Поступления от выпуска акций или других долевых инструментов</t>
  </si>
  <si>
    <t>Получение кредитов и займов</t>
  </si>
  <si>
    <t>Погашение кредитов и займов</t>
  </si>
  <si>
    <t>Приобретение неконтролирующих долей участия</t>
  </si>
  <si>
    <t>Выбытие неконтролирующих долей участия</t>
  </si>
  <si>
    <t>Приобретение собственных акций</t>
  </si>
  <si>
    <t>Платежи по арендным обязательствам, не включая проценты</t>
  </si>
  <si>
    <t>Дивиденды выплаченные</t>
  </si>
  <si>
    <t>Чистый поток денежных средств, (использованных в)/от финансовой деятельности</t>
  </si>
  <si>
    <t>Чистое увеличение/(уменьшение) денежных средств и их эквивалентов</t>
  </si>
  <si>
    <t>Денежные средства и их эквиваленты на начало периода</t>
  </si>
  <si>
    <t>Влияние изменений валютных курсов на денежные средства и их эквиваленты</t>
  </si>
  <si>
    <t>Денежные средства и их эквиваленты на конец периода</t>
  </si>
  <si>
    <t>2 кв. 2024</t>
  </si>
  <si>
    <t>Погашение проектного долга - раскрытие счетов эскроу</t>
  </si>
  <si>
    <t>Резерв по опционной программе</t>
  </si>
  <si>
    <t>Приобретение дочерних организаций за вычетом приобретенных денежных средств</t>
  </si>
  <si>
    <t>1П 2024</t>
  </si>
  <si>
    <t xml:space="preserve"> 30.06.2024</t>
  </si>
  <si>
    <t>(Прибыль)/Убыток от выбытия инвестиционной недвижимости</t>
  </si>
  <si>
    <t>(Прибыль)/убыток от выбытия объектов недвижимости в стадии строительства</t>
  </si>
  <si>
    <t>3 кв. 2024</t>
  </si>
  <si>
    <t>4 кв. 2024</t>
  </si>
  <si>
    <t>ОТЧЕТ О ПРИБЫЛЯХ И УБЫТКЕ</t>
  </si>
  <si>
    <t>2П 2024</t>
  </si>
  <si>
    <t>Будущая экономия на процентах по заключенным договорам проектного финансирования с использованием счетов эскроу</t>
  </si>
  <si>
    <t>2П2024</t>
  </si>
  <si>
    <t>Прибыль от списания кредиторской задолженности</t>
  </si>
  <si>
    <t>Убыток от выбытия нематериальных активов</t>
  </si>
  <si>
    <t>Изменение затрат на заключение договоров</t>
  </si>
  <si>
    <t>Изменение будущей экономии на процентах по заключенным договорам проектного финансирования с использованием счетов эскроу</t>
  </si>
  <si>
    <t>Операционный денежный поток (ОСF) за вычетом выплаченных процентов</t>
  </si>
  <si>
    <t>Доходы будущих периодов</t>
  </si>
  <si>
    <t>1 кв. 2025</t>
  </si>
  <si>
    <t>Оценка активов</t>
  </si>
  <si>
    <t>2 кв. 2025</t>
  </si>
  <si>
    <t>1П 2025</t>
  </si>
  <si>
    <t>Изменения в резерве под ожидаемые кредитные убытки</t>
  </si>
  <si>
    <t>Прочие доходы/(расходы), нетто</t>
  </si>
  <si>
    <t>(Расход по налогу на прибыль)/Доход по налогу на прибыль</t>
  </si>
  <si>
    <t>Убыток от обесценения запасов/(Восстановление убытка)</t>
  </si>
  <si>
    <t>Изменения в резервах под ожидаемые кредитные убытки</t>
  </si>
  <si>
    <t>Расходы по налогу на прибыль/(Доходы)</t>
  </si>
  <si>
    <t>Изменение дебиторской задолженности и авансов выданных</t>
  </si>
  <si>
    <t>Переоценка резерва под обесценение авансов выданных</t>
  </si>
  <si>
    <t>3 кв.2025</t>
  </si>
  <si>
    <t>4 кв.2025</t>
  </si>
  <si>
    <t>Прибыль от продажи инвестиционной недвижимости</t>
  </si>
  <si>
    <t>2П 2025</t>
  </si>
  <si>
    <t>Денежные средства, поступившие при выбытии дочерних организаций за вычетом выбывших денежных средств</t>
  </si>
  <si>
    <t>Поступление денежных средств при объединении бизнесов под общим контролем</t>
  </si>
  <si>
    <t>Поступления от продажи и обратной аренды основных средств</t>
  </si>
  <si>
    <t>Налог на прибыль к уплате</t>
  </si>
  <si>
    <t>(2) Включая банковские депозиты сроком свыше 3 месяцев</t>
  </si>
  <si>
    <t>(1) Показатель за 2025 без учета разового события - продажи отдельного объекта коммерческой недвижимости и с корректировкой на прибыль от продажи инвестиционной недвижимости</t>
  </si>
  <si>
    <r>
      <t>Pre-PPA валовая прибыль</t>
    </r>
    <r>
      <rPr>
        <vertAlign val="superscript"/>
        <sz val="10"/>
        <color rgb="FF000000"/>
        <rFont val="Arial"/>
        <family val="2"/>
        <charset val="204"/>
      </rPr>
      <t>(1)</t>
    </r>
  </si>
  <si>
    <r>
      <t>Денежные средства и эквиваленты</t>
    </r>
    <r>
      <rPr>
        <vertAlign val="superscript"/>
        <sz val="10"/>
        <color rgb="FF000000"/>
        <rFont val="Arial"/>
        <family val="2"/>
        <charset val="204"/>
      </rPr>
      <t>(2)</t>
    </r>
  </si>
  <si>
    <r>
      <t>Валовая прибыль</t>
    </r>
    <r>
      <rPr>
        <vertAlign val="superscript"/>
        <sz val="10"/>
        <color rgb="FF000000"/>
        <rFont val="Arial"/>
        <family val="2"/>
        <charset val="204"/>
      </rPr>
      <t>(1)</t>
    </r>
  </si>
  <si>
    <r>
      <t>Pre-PPA EBITDA</t>
    </r>
    <r>
      <rPr>
        <vertAlign val="superscript"/>
        <sz val="10"/>
        <color rgb="FF000000"/>
        <rFont val="Arial"/>
        <family val="2"/>
        <charset val="204"/>
      </rPr>
      <t>(1)</t>
    </r>
  </si>
  <si>
    <r>
      <t>EBITDA</t>
    </r>
    <r>
      <rPr>
        <vertAlign val="superscript"/>
        <sz val="10"/>
        <color rgb="FF000000"/>
        <rFont val="Arial"/>
        <family val="2"/>
        <charset val="204"/>
      </rPr>
      <t>(1)</t>
    </r>
  </si>
  <si>
    <t>1 кв.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</si>
</sst>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1" fillId="0" borderId="0" applyFill="0" applyBorder="0" applyProtection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2" applyFont="1"/>
    <xf numFmtId="0" fontId="6" fillId="0" borderId="1" xfId="2" applyFont="1" applyBorder="1"/>
    <xf numFmtId="0" fontId="7" fillId="0" borderId="1" xfId="2" applyFont="1" applyBorder="1" applyAlignment="1">
      <alignment horizontal="center"/>
    </xf>
    <xf numFmtId="0" fontId="8" fillId="0" borderId="0" xfId="3" applyFont="1" applyAlignment="1">
      <alignment wrapText="1"/>
    </xf>
    <xf numFmtId="0" fontId="9" fillId="0" borderId="0" xfId="0" applyFont="1"/>
    <xf numFmtId="4" fontId="10" fillId="0" borderId="0" xfId="2" applyNumberFormat="1" applyFont="1"/>
    <xf numFmtId="165" fontId="6" fillId="0" borderId="0" xfId="2" applyNumberFormat="1" applyFont="1"/>
    <xf numFmtId="0" fontId="6" fillId="0" borderId="0" xfId="2" applyFont="1"/>
    <xf numFmtId="4" fontId="6" fillId="0" borderId="0" xfId="2" applyNumberFormat="1" applyFont="1"/>
    <xf numFmtId="0" fontId="7" fillId="0" borderId="0" xfId="2" applyFont="1" applyAlignment="1">
      <alignment horizontal="center"/>
    </xf>
    <xf numFmtId="166" fontId="6" fillId="0" borderId="0" xfId="2" applyNumberFormat="1" applyFont="1"/>
    <xf numFmtId="0" fontId="8" fillId="0" borderId="0" xfId="2" applyFont="1"/>
    <xf numFmtId="3" fontId="6" fillId="0" borderId="0" xfId="2" applyNumberFormat="1" applyFont="1"/>
    <xf numFmtId="0" fontId="6" fillId="0" borderId="2" xfId="2" applyFont="1" applyBorder="1"/>
    <xf numFmtId="4" fontId="10" fillId="0" borderId="2" xfId="2" applyNumberFormat="1" applyFont="1" applyBorder="1"/>
    <xf numFmtId="3" fontId="6" fillId="0" borderId="2" xfId="2" applyNumberFormat="1" applyFont="1" applyBorder="1"/>
    <xf numFmtId="0" fontId="10" fillId="0" borderId="0" xfId="2" applyFont="1"/>
    <xf numFmtId="0" fontId="12" fillId="0" borderId="1" xfId="2" applyFont="1" applyBorder="1" applyAlignment="1">
      <alignment horizontal="center" vertical="center"/>
    </xf>
    <xf numFmtId="167" fontId="6" fillId="0" borderId="0" xfId="2" applyNumberFormat="1" applyFont="1"/>
    <xf numFmtId="167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3"/>
    </xf>
    <xf numFmtId="4" fontId="10" fillId="0" borderId="3" xfId="2" applyNumberFormat="1" applyFont="1" applyBorder="1"/>
    <xf numFmtId="167" fontId="6" fillId="0" borderId="3" xfId="2" applyNumberFormat="1" applyFont="1" applyBorder="1" applyAlignment="1">
      <alignment horizontal="right" vertical="center"/>
    </xf>
    <xf numFmtId="167" fontId="6" fillId="0" borderId="3" xfId="2" applyNumberFormat="1" applyFont="1" applyBorder="1"/>
    <xf numFmtId="0" fontId="7" fillId="0" borderId="0" xfId="2" applyFont="1"/>
    <xf numFmtId="167" fontId="7" fillId="0" borderId="0" xfId="2" applyNumberFormat="1" applyFont="1" applyAlignment="1">
      <alignment horizontal="right" vertical="center"/>
    </xf>
    <xf numFmtId="167" fontId="7" fillId="0" borderId="0" xfId="2" applyNumberFormat="1" applyFont="1"/>
    <xf numFmtId="167" fontId="7" fillId="0" borderId="2" xfId="2" applyNumberFormat="1" applyFont="1" applyBorder="1" applyAlignment="1">
      <alignment horizontal="right" vertical="center"/>
    </xf>
    <xf numFmtId="0" fontId="8" fillId="0" borderId="0" xfId="0" applyFont="1"/>
    <xf numFmtId="0" fontId="8" fillId="0" borderId="4" xfId="0" applyFont="1" applyBorder="1"/>
    <xf numFmtId="167" fontId="9" fillId="0" borderId="0" xfId="0" applyNumberFormat="1" applyFont="1"/>
    <xf numFmtId="0" fontId="17" fillId="0" borderId="1" xfId="0" applyFont="1" applyBorder="1" applyAlignment="1">
      <alignment horizontal="left" vertical="center"/>
    </xf>
    <xf numFmtId="49" fontId="7" fillId="0" borderId="0" xfId="0" applyNumberFormat="1" applyFont="1" applyAlignment="1">
      <alignment vertical="top" wrapText="1"/>
    </xf>
    <xf numFmtId="0" fontId="8" fillId="0" borderId="1" xfId="0" applyFont="1" applyBorder="1"/>
    <xf numFmtId="0" fontId="20" fillId="0" borderId="0" xfId="0" applyFont="1"/>
    <xf numFmtId="0" fontId="16" fillId="0" borderId="0" xfId="0" applyFont="1"/>
    <xf numFmtId="0" fontId="19" fillId="0" borderId="0" xfId="0" applyFont="1"/>
    <xf numFmtId="49" fontId="21" fillId="0" borderId="2" xfId="0" applyNumberFormat="1" applyFont="1" applyBorder="1" applyAlignment="1">
      <alignment vertical="top" wrapText="1"/>
    </xf>
    <xf numFmtId="0" fontId="17" fillId="0" borderId="4" xfId="0" applyFont="1" applyBorder="1"/>
    <xf numFmtId="49" fontId="21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6" xfId="0" applyFont="1" applyBorder="1"/>
    <xf numFmtId="49" fontId="7" fillId="0" borderId="2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21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0" fontId="13" fillId="0" borderId="0" xfId="3" applyFont="1" applyAlignment="1">
      <alignment wrapText="1"/>
    </xf>
    <xf numFmtId="0" fontId="14" fillId="0" borderId="0" xfId="3" applyFont="1" applyAlignment="1">
      <alignment wrapText="1"/>
    </xf>
    <xf numFmtId="0" fontId="5" fillId="0" borderId="0" xfId="0" applyFont="1"/>
    <xf numFmtId="0" fontId="23" fillId="0" borderId="0" xfId="1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8" fillId="2" borderId="0" xfId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2" borderId="0" xfId="1" applyFont="1" applyFill="1" applyBorder="1" applyAlignment="1">
      <alignment horizontal="right" vertical="center"/>
    </xf>
    <xf numFmtId="0" fontId="27" fillId="0" borderId="0" xfId="0" applyFont="1"/>
    <xf numFmtId="167" fontId="8" fillId="0" borderId="4" xfId="0" applyNumberFormat="1" applyFont="1" applyBorder="1"/>
    <xf numFmtId="0" fontId="9" fillId="0" borderId="0" xfId="0" applyFont="1" applyAlignment="1">
      <alignment horizontal="left" indent="1"/>
    </xf>
    <xf numFmtId="165" fontId="6" fillId="0" borderId="0" xfId="2" applyNumberFormat="1" applyFont="1" applyFill="1"/>
    <xf numFmtId="167" fontId="6" fillId="0" borderId="0" xfId="2" applyNumberFormat="1" applyFont="1" applyFill="1"/>
    <xf numFmtId="167" fontId="7" fillId="0" borderId="0" xfId="2" applyNumberFormat="1" applyFont="1" applyFill="1"/>
    <xf numFmtId="167" fontId="6" fillId="0" borderId="2" xfId="2" applyNumberFormat="1" applyFont="1" applyBorder="1" applyAlignment="1">
      <alignment horizontal="right" vertical="center"/>
    </xf>
    <xf numFmtId="0" fontId="12" fillId="0" borderId="0" xfId="2" applyFont="1"/>
    <xf numFmtId="0" fontId="33" fillId="0" borderId="0" xfId="1" applyFont="1"/>
    <xf numFmtId="165" fontId="9" fillId="0" borderId="0" xfId="0" applyNumberFormat="1" applyFont="1"/>
    <xf numFmtId="2" fontId="9" fillId="0" borderId="0" xfId="0" applyNumberFormat="1" applyFont="1"/>
    <xf numFmtId="1" fontId="9" fillId="0" borderId="0" xfId="0" applyNumberFormat="1" applyFont="1"/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7" fontId="16" fillId="0" borderId="0" xfId="0" applyNumberFormat="1" applyFont="1"/>
    <xf numFmtId="167" fontId="8" fillId="0" borderId="1" xfId="0" applyNumberFormat="1" applyFont="1" applyBorder="1"/>
    <xf numFmtId="167" fontId="34" fillId="0" borderId="4" xfId="0" applyNumberFormat="1" applyFont="1" applyBorder="1"/>
    <xf numFmtId="167" fontId="9" fillId="0" borderId="4" xfId="0" applyNumberFormat="1" applyFont="1" applyBorder="1"/>
    <xf numFmtId="167" fontId="9" fillId="0" borderId="2" xfId="0" applyNumberFormat="1" applyFont="1" applyBorder="1"/>
    <xf numFmtId="167" fontId="9" fillId="0" borderId="5" xfId="0" applyNumberFormat="1" applyFont="1" applyBorder="1"/>
    <xf numFmtId="0" fontId="9" fillId="0" borderId="0" xfId="0" quotePrefix="1" applyFont="1"/>
    <xf numFmtId="0" fontId="9" fillId="0" borderId="4" xfId="0" applyFont="1" applyBorder="1"/>
    <xf numFmtId="167" fontId="16" fillId="0" borderId="0" xfId="0" quotePrefix="1" applyNumberFormat="1" applyFont="1"/>
    <xf numFmtId="167" fontId="9" fillId="0" borderId="0" xfId="0" quotePrefix="1" applyNumberFormat="1" applyFont="1"/>
    <xf numFmtId="167" fontId="8" fillId="0" borderId="4" xfId="0" quotePrefix="1" applyNumberFormat="1" applyFont="1" applyBorder="1"/>
    <xf numFmtId="3" fontId="9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quotePrefix="1" applyFont="1" applyBorder="1"/>
    <xf numFmtId="14" fontId="16" fillId="0" borderId="1" xfId="0" applyNumberFormat="1" applyFont="1" applyBorder="1" applyAlignment="1">
      <alignment horizontal="center"/>
    </xf>
    <xf numFmtId="14" fontId="16" fillId="0" borderId="4" xfId="0" applyNumberFormat="1" applyFont="1" applyBorder="1"/>
    <xf numFmtId="167" fontId="15" fillId="0" borderId="0" xfId="0" applyNumberFormat="1" applyFont="1"/>
    <xf numFmtId="167" fontId="9" fillId="0" borderId="6" xfId="0" applyNumberFormat="1" applyFont="1" applyBorder="1"/>
    <xf numFmtId="0" fontId="9" fillId="0" borderId="5" xfId="0" applyFont="1" applyBorder="1"/>
    <xf numFmtId="167" fontId="9" fillId="0" borderId="0" xfId="0" applyNumberFormat="1" applyFont="1" applyFill="1"/>
    <xf numFmtId="167" fontId="16" fillId="0" borderId="2" xfId="0" applyNumberFormat="1" applyFont="1" applyBorder="1"/>
    <xf numFmtId="3" fontId="34" fillId="0" borderId="4" xfId="0" applyNumberFormat="1" applyFont="1" applyBorder="1"/>
    <xf numFmtId="167" fontId="17" fillId="0" borderId="0" xfId="0" applyNumberFormat="1" applyFont="1"/>
    <xf numFmtId="0" fontId="17" fillId="0" borderId="0" xfId="0" applyFont="1" applyAlignment="1">
      <alignment horizontal="left" indent="1"/>
    </xf>
    <xf numFmtId="167" fontId="9" fillId="0" borderId="0" xfId="0" applyNumberFormat="1" applyFont="1" applyAlignment="1">
      <alignment horizontal="right"/>
    </xf>
    <xf numFmtId="167" fontId="16" fillId="0" borderId="1" xfId="0" applyNumberFormat="1" applyFont="1" applyBorder="1"/>
    <xf numFmtId="167" fontId="16" fillId="0" borderId="4" xfId="0" applyNumberFormat="1" applyFont="1" applyBorder="1"/>
    <xf numFmtId="4" fontId="10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9" fillId="0" borderId="0" xfId="0" applyNumberFormat="1" applyFont="1"/>
    <xf numFmtId="4" fontId="9" fillId="0" borderId="0" xfId="0" applyNumberFormat="1" applyFont="1"/>
    <xf numFmtId="167" fontId="9" fillId="0" borderId="0" xfId="0" applyNumberFormat="1" applyFont="1" applyAlignment="1">
      <alignment horizontal="right" vertical="center"/>
    </xf>
    <xf numFmtId="167" fontId="6" fillId="0" borderId="2" xfId="2" applyNumberFormat="1" applyFont="1" applyBorder="1"/>
    <xf numFmtId="0" fontId="6" fillId="0" borderId="0" xfId="2" applyFont="1" applyAlignment="1">
      <alignment wrapText="1"/>
    </xf>
    <xf numFmtId="0" fontId="3" fillId="0" borderId="0" xfId="1"/>
    <xf numFmtId="0" fontId="3" fillId="0" borderId="0" xfId="1" applyFill="1"/>
    <xf numFmtId="0" fontId="9" fillId="0" borderId="0" xfId="0" applyFont="1" applyAlignment="1">
      <alignment wrapText="1"/>
    </xf>
    <xf numFmtId="0" fontId="3" fillId="2" borderId="0" xfId="1" applyFill="1" applyBorder="1" applyAlignment="1">
      <alignment horizontal="right" vertical="center"/>
    </xf>
    <xf numFmtId="0" fontId="6" fillId="0" borderId="0" xfId="2" applyFont="1" applyBorder="1"/>
    <xf numFmtId="4" fontId="10" fillId="0" borderId="0" xfId="2" applyNumberFormat="1" applyFont="1" applyBorder="1"/>
    <xf numFmtId="3" fontId="6" fillId="0" borderId="0" xfId="2" applyNumberFormat="1" applyFont="1" applyBorder="1"/>
    <xf numFmtId="0" fontId="6" fillId="0" borderId="3" xfId="2" applyFont="1" applyBorder="1"/>
    <xf numFmtId="0" fontId="6" fillId="0" borderId="3" xfId="2" applyFont="1" applyBorder="1" applyAlignment="1">
      <alignment horizontal="left" indent="1"/>
    </xf>
    <xf numFmtId="167" fontId="19" fillId="0" borderId="0" xfId="0" applyNumberFormat="1" applyFont="1"/>
    <xf numFmtId="167" fontId="16" fillId="0" borderId="0" xfId="0" applyNumberFormat="1" applyFont="1" applyFill="1"/>
    <xf numFmtId="167" fontId="15" fillId="0" borderId="0" xfId="0" applyNumberFormat="1" applyFont="1" applyFill="1"/>
    <xf numFmtId="167" fontId="8" fillId="0" borderId="4" xfId="0" applyNumberFormat="1" applyFont="1" applyFill="1" applyBorder="1"/>
    <xf numFmtId="167" fontId="9" fillId="2" borderId="0" xfId="0" applyNumberFormat="1" applyFont="1" applyFill="1"/>
    <xf numFmtId="165" fontId="19" fillId="0" borderId="0" xfId="0" applyNumberFormat="1" applyFont="1"/>
  </cellXfs>
  <cellStyles count="12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8.xml"/><Relationship Id="rId138" Type="http://schemas.openxmlformats.org/officeDocument/2006/relationships/externalLink" Target="externalLinks/externalLink132.xml"/><Relationship Id="rId159" Type="http://schemas.openxmlformats.org/officeDocument/2006/relationships/externalLink" Target="externalLinks/externalLink153.xml"/><Relationship Id="rId170" Type="http://schemas.openxmlformats.org/officeDocument/2006/relationships/externalLink" Target="externalLinks/externalLink164.xml"/><Relationship Id="rId191" Type="http://schemas.openxmlformats.org/officeDocument/2006/relationships/externalLink" Target="externalLinks/externalLink185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8.xml"/><Relationship Id="rId128" Type="http://schemas.openxmlformats.org/officeDocument/2006/relationships/externalLink" Target="externalLinks/externalLink122.xml"/><Relationship Id="rId149" Type="http://schemas.openxmlformats.org/officeDocument/2006/relationships/externalLink" Target="externalLinks/externalLink14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9.xml"/><Relationship Id="rId160" Type="http://schemas.openxmlformats.org/officeDocument/2006/relationships/externalLink" Target="externalLinks/externalLink154.xml"/><Relationship Id="rId181" Type="http://schemas.openxmlformats.org/officeDocument/2006/relationships/externalLink" Target="externalLinks/externalLink175.xml"/><Relationship Id="rId22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8.xml"/><Relationship Id="rId118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33.xml"/><Relationship Id="rId85" Type="http://schemas.openxmlformats.org/officeDocument/2006/relationships/externalLink" Target="externalLinks/externalLink79.xml"/><Relationship Id="rId150" Type="http://schemas.openxmlformats.org/officeDocument/2006/relationships/externalLink" Target="externalLinks/externalLink144.xml"/><Relationship Id="rId171" Type="http://schemas.openxmlformats.org/officeDocument/2006/relationships/externalLink" Target="externalLinks/externalLink165.xml"/><Relationship Id="rId192" Type="http://schemas.openxmlformats.org/officeDocument/2006/relationships/externalLink" Target="externalLinks/externalLink186.xml"/><Relationship Id="rId12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90.xml"/><Relationship Id="rId140" Type="http://schemas.openxmlformats.org/officeDocument/2006/relationships/externalLink" Target="externalLinks/externalLink134.xml"/><Relationship Id="rId161" Type="http://schemas.openxmlformats.org/officeDocument/2006/relationships/externalLink" Target="externalLinks/externalLink155.xml"/><Relationship Id="rId182" Type="http://schemas.openxmlformats.org/officeDocument/2006/relationships/externalLink" Target="externalLinks/externalLink176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5" Type="http://schemas.openxmlformats.org/officeDocument/2006/relationships/externalLink" Target="externalLinks/externalLink59.xml"/><Relationship Id="rId86" Type="http://schemas.openxmlformats.org/officeDocument/2006/relationships/externalLink" Target="externalLinks/externalLink80.xml"/><Relationship Id="rId130" Type="http://schemas.openxmlformats.org/officeDocument/2006/relationships/externalLink" Target="externalLinks/externalLink124.xml"/><Relationship Id="rId151" Type="http://schemas.openxmlformats.org/officeDocument/2006/relationships/externalLink" Target="externalLinks/externalLink145.xml"/><Relationship Id="rId172" Type="http://schemas.openxmlformats.org/officeDocument/2006/relationships/externalLink" Target="externalLinks/externalLink166.xml"/><Relationship Id="rId193" Type="http://schemas.openxmlformats.org/officeDocument/2006/relationships/externalLink" Target="externalLinks/externalLink187.xml"/><Relationship Id="rId13" Type="http://schemas.openxmlformats.org/officeDocument/2006/relationships/externalLink" Target="externalLinks/externalLink7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20" Type="http://schemas.openxmlformats.org/officeDocument/2006/relationships/externalLink" Target="externalLinks/externalLink114.xml"/><Relationship Id="rId141" Type="http://schemas.openxmlformats.org/officeDocument/2006/relationships/externalLink" Target="externalLinks/externalLink135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162" Type="http://schemas.openxmlformats.org/officeDocument/2006/relationships/externalLink" Target="externalLinks/externalLink156.xml"/><Relationship Id="rId183" Type="http://schemas.openxmlformats.org/officeDocument/2006/relationships/externalLink" Target="externalLinks/externalLink17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157" Type="http://schemas.openxmlformats.org/officeDocument/2006/relationships/externalLink" Target="externalLinks/externalLink151.xml"/><Relationship Id="rId178" Type="http://schemas.openxmlformats.org/officeDocument/2006/relationships/externalLink" Target="externalLinks/externalLink172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52" Type="http://schemas.openxmlformats.org/officeDocument/2006/relationships/externalLink" Target="externalLinks/externalLink146.xml"/><Relationship Id="rId173" Type="http://schemas.openxmlformats.org/officeDocument/2006/relationships/externalLink" Target="externalLinks/externalLink167.xml"/><Relationship Id="rId194" Type="http://schemas.openxmlformats.org/officeDocument/2006/relationships/externalLink" Target="externalLinks/externalLink188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Relationship Id="rId147" Type="http://schemas.openxmlformats.org/officeDocument/2006/relationships/externalLink" Target="externalLinks/externalLink141.xml"/><Relationship Id="rId168" Type="http://schemas.openxmlformats.org/officeDocument/2006/relationships/externalLink" Target="externalLinks/externalLink16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142" Type="http://schemas.openxmlformats.org/officeDocument/2006/relationships/externalLink" Target="externalLinks/externalLink136.xml"/><Relationship Id="rId163" Type="http://schemas.openxmlformats.org/officeDocument/2006/relationships/externalLink" Target="externalLinks/externalLink157.xml"/><Relationship Id="rId184" Type="http://schemas.openxmlformats.org/officeDocument/2006/relationships/externalLink" Target="externalLinks/externalLink178.xml"/><Relationship Id="rId189" Type="http://schemas.openxmlformats.org/officeDocument/2006/relationships/externalLink" Target="externalLinks/externalLink18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137" Type="http://schemas.openxmlformats.org/officeDocument/2006/relationships/externalLink" Target="externalLinks/externalLink131.xml"/><Relationship Id="rId158" Type="http://schemas.openxmlformats.org/officeDocument/2006/relationships/externalLink" Target="externalLinks/externalLink15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53" Type="http://schemas.openxmlformats.org/officeDocument/2006/relationships/externalLink" Target="externalLinks/externalLink147.xml"/><Relationship Id="rId174" Type="http://schemas.openxmlformats.org/officeDocument/2006/relationships/externalLink" Target="externalLinks/externalLink168.xml"/><Relationship Id="rId179" Type="http://schemas.openxmlformats.org/officeDocument/2006/relationships/externalLink" Target="externalLinks/externalLink173.xml"/><Relationship Id="rId195" Type="http://schemas.openxmlformats.org/officeDocument/2006/relationships/theme" Target="theme/theme1.xml"/><Relationship Id="rId190" Type="http://schemas.openxmlformats.org/officeDocument/2006/relationships/externalLink" Target="externalLinks/externalLink184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43" Type="http://schemas.openxmlformats.org/officeDocument/2006/relationships/externalLink" Target="externalLinks/externalLink137.xml"/><Relationship Id="rId148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58.xml"/><Relationship Id="rId169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7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4.xml"/><Relationship Id="rId26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54" Type="http://schemas.openxmlformats.org/officeDocument/2006/relationships/externalLink" Target="externalLinks/externalLink148.xml"/><Relationship Id="rId175" Type="http://schemas.openxmlformats.org/officeDocument/2006/relationships/externalLink" Target="externalLinks/externalLink169.xml"/><Relationship Id="rId196" Type="http://schemas.openxmlformats.org/officeDocument/2006/relationships/styles" Target="styles.xml"/><Relationship Id="rId16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52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44" Type="http://schemas.openxmlformats.org/officeDocument/2006/relationships/externalLink" Target="externalLinks/externalLink138.xml"/><Relationship Id="rId90" Type="http://schemas.openxmlformats.org/officeDocument/2006/relationships/externalLink" Target="externalLinks/externalLink84.xml"/><Relationship Id="rId165" Type="http://schemas.openxmlformats.org/officeDocument/2006/relationships/externalLink" Target="externalLinks/externalLink159.xml"/><Relationship Id="rId186" Type="http://schemas.openxmlformats.org/officeDocument/2006/relationships/externalLink" Target="externalLinks/externalLink180.xml"/><Relationship Id="rId27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34" Type="http://schemas.openxmlformats.org/officeDocument/2006/relationships/externalLink" Target="externalLinks/externalLink128.xml"/><Relationship Id="rId80" Type="http://schemas.openxmlformats.org/officeDocument/2006/relationships/externalLink" Target="externalLinks/externalLink74.xml"/><Relationship Id="rId155" Type="http://schemas.openxmlformats.org/officeDocument/2006/relationships/externalLink" Target="externalLinks/externalLink149.xml"/><Relationship Id="rId176" Type="http://schemas.openxmlformats.org/officeDocument/2006/relationships/externalLink" Target="externalLinks/externalLink170.xml"/><Relationship Id="rId197" Type="http://schemas.openxmlformats.org/officeDocument/2006/relationships/sharedStrings" Target="sharedStrings.xml"/><Relationship Id="rId17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24" Type="http://schemas.openxmlformats.org/officeDocument/2006/relationships/externalLink" Target="externalLinks/externalLink118.xml"/><Relationship Id="rId70" Type="http://schemas.openxmlformats.org/officeDocument/2006/relationships/externalLink" Target="externalLinks/externalLink64.xml"/><Relationship Id="rId91" Type="http://schemas.openxmlformats.org/officeDocument/2006/relationships/externalLink" Target="externalLinks/externalLink85.xml"/><Relationship Id="rId145" Type="http://schemas.openxmlformats.org/officeDocument/2006/relationships/externalLink" Target="externalLinks/externalLink139.xml"/><Relationship Id="rId166" Type="http://schemas.openxmlformats.org/officeDocument/2006/relationships/externalLink" Target="externalLinks/externalLink160.xml"/><Relationship Id="rId187" Type="http://schemas.openxmlformats.org/officeDocument/2006/relationships/externalLink" Target="externalLinks/externalLink181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60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75.xml"/><Relationship Id="rId135" Type="http://schemas.openxmlformats.org/officeDocument/2006/relationships/externalLink" Target="externalLinks/externalLink129.xml"/><Relationship Id="rId156" Type="http://schemas.openxmlformats.org/officeDocument/2006/relationships/externalLink" Target="externalLinks/externalLink150.xml"/><Relationship Id="rId177" Type="http://schemas.openxmlformats.org/officeDocument/2006/relationships/externalLink" Target="externalLinks/externalLink171.xml"/><Relationship Id="rId198" Type="http://schemas.openxmlformats.org/officeDocument/2006/relationships/calcChain" Target="calcChain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4.xml"/><Relationship Id="rId104" Type="http://schemas.openxmlformats.org/officeDocument/2006/relationships/externalLink" Target="externalLinks/externalLink98.xml"/><Relationship Id="rId125" Type="http://schemas.openxmlformats.org/officeDocument/2006/relationships/externalLink" Target="externalLinks/externalLink119.xml"/><Relationship Id="rId146" Type="http://schemas.openxmlformats.org/officeDocument/2006/relationships/externalLink" Target="externalLinks/externalLink140.xml"/><Relationship Id="rId167" Type="http://schemas.openxmlformats.org/officeDocument/2006/relationships/externalLink" Target="externalLinks/externalLink161.xml"/><Relationship Id="rId188" Type="http://schemas.openxmlformats.org/officeDocument/2006/relationships/externalLink" Target="externalLinks/externalLink18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407670</xdr:colOff>
      <xdr:row>2</xdr:row>
      <xdr:rowOff>87396</xdr:rowOff>
    </xdr:from>
    <xdr:to>
      <xdr:col>1</xdr:col>
      <xdr:colOff>2457450</xdr:colOff>
      <xdr:row>7</xdr:row>
      <xdr:rowOff>118109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3476C16-2722-4276-A3FA-EE71942E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453156"/>
          <a:ext cx="2712720" cy="9984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rts\Common_E\111\&#1064;&#1072;&#1096;&#1072;\&#1050;&#1088;&#1072;&#1081;&#1085;&#1077;&#1074;&#1072;\&#1086;&#1094;&#1077;&#1085;&#1082;&#1072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ba\&#1056;&#1072;&#1073;&#1086;&#1095;&#1072;&#1103;\&#1088;&#1072;&#1089;&#1095;&#1077;&#1090;%20&#1043;&#1059;&#1055;%20&#1086;&#1082;.%20&#1074;&#1072;&#1088;.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376A878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AF56F0B\&#1079;&#1072;&#1090;&#1088;&#1072;&#1090;&#1085;&#1099;&#1081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4;&#1094;&#1077;&#1085;&#1082;&#1080;\2002\&#1051;&#1091;&#1082;&#1086;&#1081;&#1083;%202\&#1057;&#1074;&#1086;&#107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USERS\INFORM\FIN\PASX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s07\clients\Documents\Projects\RAO%20UES\Sample%20Reports\CEZ\CEZ_Model_16_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.7.16\Business\Renova\Work\Zhivchikov\&#1050;&#1069;&#1057;\&#1048;&#1088;&#1082;&#1091;&#1090;&#1089;&#1082;\Estimation\Model_IrkutskEnergoStroy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clients\My%20Documents\Billing%20system%20analysis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WINDOWS\TEMP\notesE1EF34\Gestion\$SOFTR\Budget%202005-2006\721\SYNTH_PL.syn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s07\Healthcare\Comparator%20companies\Specialty%20Pharma\new_spec_phar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\programs\TEMP\&#1086;&#1090;&#1095;&#1077;&#1090;&#1085;&#1086;&#1089;&#1090;&#1100;_%2030.06.99.&#1095;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999513B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f\programs\NAV\PIF_Reports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2\LenSpecSMU\Financial%20department\Standard%20&amp;%20Poor's\Liquidity%20Reports\CJSC%20SSMO%20LenSpetSMU_LR%202013%20Q4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vada\buhgalteriy\OTZ\PROCH\GAAPS\US%20GAAP%2003-01\Reporting%20package%20FORM\Link-ex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DOCUME~1\2ADB~1\LOCALS~1\Temp\bat\14120EC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sdelki\&#1054;&#1051;&#1045;&#1043;\&#1050;&#1059;&#1053;&#1062;&#1045;&#1042;&#1054;\DeltaAutoLease%20calculator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beg.net\documents\&#1052;&#1086;&#1080;%20&#1076;&#1086;&#1082;&#1091;&#1084;&#1077;&#1085;&#1090;&#1099;\GENERAL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IgMoz\WINDOWS\&#1056;&#1072;&#1073;&#1086;&#1095;&#1080;&#1081;%20&#1089;&#1090;&#1086;&#1083;\OCENKA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kuchko\Documents%20and%20Settings\armen\My%20Documents\Companies\SPT\&#1041;&#1102;&#1076;&#1078;&#1077;&#1090;%202001\Bp2001est4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STER\UserSets\SUGAR\Mult_usr\Balans\A-Reestry\UP_OVER\03_2001\&#1050;&#1088;&#1077;&#1076;&#1080;&#1090;&#1099;_&#1089;&#1074;&#1086;&#10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asovskaya\2000\05_00\02_00\Backup%20of%20BUDJ_02_00.xlk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talon.local\etalongroup\15.%20Valuation\Projects\_CURRENT%20PROJECTS\UFG_2015\Strastnoy\07_Calculation\Turk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ktsvdc2\Work\Temp\notes5DA91C\&#1053;&#1086;&#1074;&#1099;&#1081;%20&#1086;&#1073;&#1097;&#1080;&#1081;%20&#1096;&#1072;&#1073;&#1083;&#1086;&#108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E\DOCUME~1\Bukseev\LOCALS~1\Temp\bat\3130076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terina\d\WIN\&#1056;&#1072;&#1073;&#1086;&#1095;&#1080;&#1081;%20&#1089;&#1090;&#1086;&#1083;\&#1062;&#1077;&#1093;%2013_&#1086;&#1073;&#1086;&#1088;&#1091;&#107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3C835DF\&#1044;&#1086;&#1075;&#1086;&#1074;&#1086;&#1088;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1;&#1070;&#1044;&#1052;&#1048;&#1051;&#1040;\C\&#1052;&#1086;&#1080;%20&#1076;&#1086;&#1082;&#1091;&#1084;&#1077;&#1085;&#1090;&#1099;\GERASIMCHUK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ARHIVE\Tropyshko\&#1053;&#1077;&#1079;&#1072;&#1074;&#1055;&#1088;&#1077;&#1089;&#1089;\PRAVDA-NZ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10.2.15\Public.Documents\ARHIVE\Tropyshko\&#1057;&#1083;&#1072;&#1074;&#1080;&#1095;\GAM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  <sheetName val="Assumptions"/>
      <sheetName val="Cinema Calc RC Mezzanine"/>
      <sheetName val="parite"/>
      <sheetName val="RSA_2003_IS-5"/>
      <sheetName val="План_продаж3"/>
      <sheetName val="NPV_Chart3"/>
      <sheetName val="Затр_с_инфл_(с_инж)3"/>
      <sheetName val="cur_projects_pl3"/>
      <sheetName val="Сводная_ЛССМУ3"/>
      <sheetName val="budget  material"/>
      <sheetName val="ekiprin ayrilmasii -sbs"/>
      <sheetName val="RC-BALTIKA Butce Formu"/>
      <sheetName val="kesif"/>
      <sheetName val="Объекты"/>
      <sheetName val="Реестр выполненных работ"/>
      <sheetName val="U-factors - calc"/>
      <sheetName val="data"/>
      <sheetName val="b25 (m350) beton maliyet analiz"/>
      <sheetName val="Data Sheet"/>
      <sheetName val="Direct Budget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 refreshError="1"/>
      <sheetData sheetId="98" refreshError="1"/>
      <sheetData sheetId="99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  <sheetName val="RC-BALTIKA Butce Formu"/>
      <sheetName val="tesİsat"/>
      <sheetName val="ekiprin ayrilmasii -sbs"/>
      <sheetName val="Deduction"/>
      <sheetName val="график_затрат3"/>
      <sheetName val="План_продаж3"/>
      <sheetName val="оплата_по_графикам3"/>
      <sheetName val="Materials"/>
      <sheetName val="mp-var-001"/>
      <sheetName val="electric mechanic"/>
      <sheetName val="data"/>
      <sheetName val="hyndai man-power -  c.n.c"/>
      <sheetName val="kesif"/>
      <sheetName val="share price 2002"/>
      <sheetName val="ADAMSAAT MAL."/>
      <sheetName val="Kapak"/>
      <sheetName val="Data Input"/>
      <sheetName val="Beton Maliyet Analizi"/>
      <sheetName val="fitoutconfcentre"/>
      <sheetName val="№1_Отчет о реализации площадей"/>
      <sheetName val="Scenar"/>
      <sheetName val="Лист1-ЛССМУ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 refreshError="1"/>
      <sheetData sheetId="91" refreshError="1"/>
      <sheetData sheetId="92"/>
      <sheetData sheetId="93" refreshError="1"/>
      <sheetData sheetId="94"/>
      <sheetData sheetId="95"/>
      <sheetData sheetId="9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  <sheetName val="Сводный лист (LS) "/>
      <sheetName val="Выпадающий список "/>
      <sheetName val="Données LMU"/>
      <sheetName val="MPV"/>
      <sheetName val="3-Company list"/>
      <sheetName val="Switch"/>
      <sheetName val="Liste agrégats Cash Flow"/>
      <sheetName val="5. Management"/>
      <sheetName val="Annexe"/>
      <sheetName val="Trend mensili IB 2004"/>
      <sheetName val="B"/>
      <sheetName val="Waterfall charts"/>
      <sheetName val="0.4 Liste des entités"/>
      <sheetName val="Data_pour_menu_déroulant"/>
      <sheetName val="Données_LMU"/>
      <sheetName val="DTF_drop_down_list"/>
      <sheetName val="PARAM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Source onglet input"/>
      <sheetName val="Liste agrégats Bilan"/>
      <sheetName val="BCP X - Positions"/>
      <sheetName val="MICAP"/>
      <sheetName val="Data Validation"/>
      <sheetName val="DATOS GRLES."/>
      <sheetName val="MES"/>
      <sheetName val="DATOS_GRLES_"/>
      <sheetName val="DATOS_GRLES_1"/>
      <sheetName val="DATOS_GRLES_2"/>
      <sheetName val="Drop-downs"/>
      <sheetName val="BCP_X_-_Positions"/>
      <sheetName val="Countries_macro_data"/>
      <sheetName val="BCP_X_-_Positions1"/>
      <sheetName val="Countries_macro_data1"/>
      <sheetName val="Data_Validation"/>
      <sheetName val="DATOS_GRLES_3"/>
      <sheetName val="FY12 Customer UK &amp; Int"/>
      <sheetName val="C. Brands and Products"/>
      <sheetName val="3-Company_list"/>
      <sheetName val="Liste_agrégats_Cash_Flow"/>
      <sheetName val="FY12_Customer_UK_&amp;_Int"/>
      <sheetName val="C__Brands_and_Products"/>
      <sheetName val="BCP Asia II"/>
      <sheetName val="Months"/>
      <sheetName val="RubIG"/>
      <sheetName val="Hide"/>
      <sheetName val="HYPOTHESES"/>
      <sheetName val="Mapping2"/>
      <sheetName val="Infos"/>
      <sheetName val="Parameter"/>
      <sheetName val="Tabelle3"/>
      <sheetName val="Tradesum"/>
      <sheetName val="Model"/>
      <sheetName val="DATOS_GRLES_4"/>
      <sheetName val="PilotFP"/>
      <sheetName val="PILOT"/>
      <sheetName val="formattazione"/>
      <sheetName val="Comps"/>
      <sheetName val="TABLES"/>
      <sheetName val="MWC"/>
      <sheetName val="VAR"/>
      <sheetName val="Parameters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Периоды"/>
      <sheetName val="ЭкоУ-статьи бюджета"/>
      <sheetName val="Справочник (2)"/>
      <sheetName val="Статьи бюджета 2021"/>
      <sheetName val="Веса показателей"/>
      <sheetName val="К 005"/>
      <sheetName val="РБП"/>
      <sheetName val="PL_Total"/>
      <sheetName val="классификатор"/>
      <sheetName val="Выпадающий список"/>
      <sheetName val="6.1_хЦТЭТ"/>
      <sheetName val="тех данные"/>
      <sheetName val="SOV tot"/>
      <sheetName val="Finansal_tamamlanma_Eğrisi"/>
      <sheetName val="Список_спец__критериев"/>
      <sheetName val="PROCURE"/>
      <sheetName val="Техлист"/>
      <sheetName val="р_список"/>
      <sheetName val="технич"/>
      <sheetName val="Приложение 1"/>
      <sheetName val="갑지"/>
      <sheetName val="Brent"/>
      <sheetName val="rate of exchange"/>
      <sheetName val="STLInput"/>
      <sheetName val="Подстава"/>
      <sheetName val="Финплан"/>
      <sheetName val="Brent(dtd)_Rate"/>
      <sheetName val="Налоги 2011-2013 23.12.2010"/>
      <sheetName val="короткая руб"/>
      <sheetName val="Отчет о прб и убыт"/>
      <sheetName val="Расчет займов"/>
      <sheetName val="32 Амортизация_СНПЗ"/>
      <sheetName val="Ryazan"/>
      <sheetName val="NPZ"/>
      <sheetName val="СырьеПродуктыПрибыль"/>
      <sheetName val="Справочник студента"/>
      <sheetName val="sapactivexlhiddensheet"/>
      <sheetName val="Меню_ФА"/>
      <sheetName val="База сарех"/>
      <sheetName val="EQUIPMENT -2"/>
      <sheetName val="#BAŞV"/>
      <sheetName val="系数516"/>
      <sheetName val="на 1 тут"/>
      <sheetName val="C,I,O"/>
      <sheetName val="#¡REF"/>
      <sheetName val="ДБ статуса подготовки к ОР"/>
      <sheetName val="Авансы по СНГ"/>
      <sheetName val="산근"/>
      <sheetName val="СГ-транс_КР"/>
      <sheetName val="Роли"/>
      <sheetName val="EKDEB90"/>
      <sheetName val="Sys"/>
      <sheetName val="каталог услуг и проектов"/>
      <sheetName val="Rate Analysis"/>
      <sheetName val="Process Piping"/>
      <sheetName val="ANALISIS ALQUILER FERREYROS"/>
      <sheetName val="HX"/>
      <sheetName val="2008-10"/>
      <sheetName val="Слайд_21_ФА_ССДП Ф-Ф"/>
      <sheetName val="Статьи затрат"/>
      <sheetName val="Списки для драйверов"/>
      <sheetName val="Справочник 3"/>
      <sheetName val="ФакторыШК"/>
      <sheetName val="ФакторыБУИ"/>
      <sheetName val="валюта"/>
      <sheetName val="НДС"/>
      <sheetName val="Статус"/>
      <sheetName val="Вид деятельности"/>
      <sheetName val="Списки (Не удалять!)"/>
      <sheetName val="справочник (ЗВ)"/>
      <sheetName val="продукты и факторы"/>
      <sheetName val="Оплата"/>
      <sheetName val="контуры ТК, ГК"/>
      <sheetName val="1"/>
      <sheetName val="Списки (Не удалять!) (2)"/>
      <sheetName val="вспомогательные производства"/>
      <sheetName val="текущие"/>
      <sheetName val="перспективные"/>
      <sheetName val="1.6 TRS Data"/>
      <sheetName val="БП 2021-2025"/>
      <sheetName val="Варианты"/>
      <sheetName val="Справочник продукции"/>
      <sheetName val="БП 2022-2026"/>
      <sheetName val="Forecast"/>
      <sheetName val="P&amp;L Summary Page"/>
      <sheetName val="Оборудование"/>
      <sheetName val="Dep_other_list"/>
      <sheetName val="Справочник видов активности"/>
      <sheetName val="Справочник подрядчиков"/>
      <sheetName val="Справочник_статей1"/>
      <sheetName val="Dropdown_list1"/>
      <sheetName val="17_Налог1"/>
      <sheetName val="данные_для_графика3"/>
      <sheetName val="Ф-2_ЮССС1"/>
      <sheetName val="Ф-1_ЮССС1"/>
      <sheetName val="Ф_23"/>
      <sheetName val="Структура_расходов3"/>
      <sheetName val="ф_29мес_3"/>
      <sheetName val="CREDIT_STATS3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Расчет_VAS_(руб_)1"/>
      <sheetName val="Статьи_затрат_и_ЦФО1"/>
      <sheetName val="INPUT_EXPENSES1"/>
      <sheetName val="Статьи_БДДС1"/>
      <sheetName val="Доходы_revenue_+_затраты1"/>
      <sheetName val="Статьи_ДДС_20171"/>
      <sheetName val="Qtrly_CF1"/>
      <sheetName val="GENEX_OPEX"/>
      <sheetName val="Capex_no_longer_use"/>
      <sheetName val="CAPEX_BP_file"/>
      <sheetName val="NRI_Impact"/>
      <sheetName val="CF_BX"/>
      <sheetName val="CF_12M"/>
      <sheetName val="CF_IP_&amp;_Sens"/>
      <sheetName val="ERV_Check"/>
      <sheetName val="Прайс_Лист1"/>
      <sheetName val="перечень_статей_затрат_PNL1"/>
      <sheetName val="Справочник_БКВ1"/>
      <sheetName val="проект_-_отдел1"/>
      <sheetName val="Справочник_ЦФО1"/>
      <sheetName val="FIXED_ASSETS1"/>
      <sheetName val="SETTL_-_RBL1"/>
      <sheetName val="SETTL_-_USD1"/>
      <sheetName val="SPARES_-_BOOTHS1"/>
      <sheetName val="SPARES_-_PAYPHONES1"/>
      <sheetName val="Список_спец__критериев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Справочник_ДДС"/>
      <sheetName val="Справочник_код_ИП"/>
      <sheetName val="мэппинг_PL_CF"/>
      <sheetName val="CAMPAIGN_AVERAGE_F1"/>
      <sheetName val="справочник_магазинов1"/>
      <sheetName val="статьи_БДР1"/>
      <sheetName val="_+_ОСВ_43"/>
      <sheetName val="__Список1"/>
      <sheetName val="Список_Должностей1"/>
      <sheetName val="Список_Исполнителей1"/>
      <sheetName val="Производственная_функция"/>
      <sheetName val="справочник_мвз"/>
      <sheetName val="List_of_CH"/>
      <sheetName val="Товарооборот_2021"/>
      <sheetName val="Прочие_ДиР"/>
      <sheetName val="BS_ГК_МТ"/>
      <sheetName val="PL_ГК_МТ"/>
      <sheetName val="IFRS_corr"/>
      <sheetName val="Свод_&quot;К&quot;"/>
      <sheetName val="DTF_drop_down_list5"/>
      <sheetName val="Стать_БУ"/>
      <sheetName val="счета__БУ"/>
      <sheetName val="BS_PR"/>
      <sheetName val="Справочник_статей_БУ_"/>
      <sheetName val="ГК_Элемент_(ВГО)"/>
      <sheetName val="Курс_валют_на___"/>
      <sheetName val="Рук-ство_по_зап-ю"/>
      <sheetName val="Программа_"/>
      <sheetName val="5630_02+"/>
      <sheetName val="Справочник_люди"/>
      <sheetName val="Статьи_ПГСО"/>
      <sheetName val="9_стрим"/>
      <sheetName val="Список_БП"/>
      <sheetName val="орг_структура"/>
      <sheetName val="ГПХ_цфо_999"/>
      <sheetName val="Перечень_ИТ-систем"/>
      <sheetName val="Accounts_DATA"/>
      <sheetName val="5_Справочники"/>
      <sheetName val="5__СПРАВОЧНИКИ"/>
      <sheetName val="Data_pour_menu_déroulant5"/>
      <sheetName val="Тех__лист"/>
      <sheetName val="CAPEX_new"/>
      <sheetName val="заполнение_таблицы"/>
      <sheetName val="Finansal_tamamlanma_Eğrisi1"/>
      <sheetName val="Список_CapEx"/>
      <sheetName val="Список_лотов"/>
      <sheetName val="Списки_(доходы)"/>
      <sheetName val="Список_(CapEx)"/>
      <sheetName val="Список_для_СapEx"/>
      <sheetName val="2_INP-Timeline"/>
      <sheetName val="Products_annual"/>
      <sheetName val="КСВ_График_слайд_11"/>
      <sheetName val="ФОТ_штат_22"/>
      <sheetName val="Численность_по_активам"/>
      <sheetName val="Статьи_ПК"/>
      <sheetName val="контроль_аналитик"/>
      <sheetName val="tech__list"/>
      <sheetName val="Прил__3"/>
      <sheetName val="контрагент_новый"/>
      <sheetName val="Справочник_клиентов"/>
      <sheetName val="Справочник_видов_ГП"/>
      <sheetName val="Техн_лист"/>
      <sheetName val="Справочник_марок_ППУ"/>
      <sheetName val="_N_Finansal_Eğri"/>
      <sheetName val="проверка_данных"/>
      <sheetName val="Справочик_техника"/>
      <sheetName val="вспомогательные_таблицы"/>
      <sheetName val="спр_типы_данных"/>
      <sheetName val="Круг_6_листов_"/>
      <sheetName val="Сводный_лист_(LS)_"/>
      <sheetName val="Выпадающий_список_"/>
      <sheetName val="Données_LMU5"/>
      <sheetName val="3-Company_list1"/>
      <sheetName val="Liste_agrégats_Cash_Flow1"/>
      <sheetName val="5__Management4"/>
      <sheetName val="Trend_mensili_IB_20044"/>
      <sheetName val="Waterfall_charts4"/>
      <sheetName val="0_4_Liste_des_entités4"/>
      <sheetName val="Countries_macro_data2"/>
      <sheetName val="P&amp;L_Long_Period_(Report)4"/>
      <sheetName val="Source_onglet_input"/>
      <sheetName val="Liste_agrégats_Bilan"/>
      <sheetName val="BCP_X_-_Positions2"/>
      <sheetName val="Data_Validation1"/>
      <sheetName val="DATOS_GRLES_5"/>
      <sheetName val="FY12_Customer_UK_&amp;_Int1"/>
      <sheetName val="C__Brands_and_Products1"/>
      <sheetName val="BCP_Asia_II"/>
      <sheetName val="Base_pour_rating_FY19"/>
      <sheetName val="Base_pour_rating_FY19_(2)"/>
      <sheetName val="Menus_déroulants"/>
      <sheetName val="Base_CA_2019"/>
      <sheetName val="ЭкоУ-статьи_бюджета"/>
      <sheetName val="Справочник_(2)"/>
      <sheetName val="Статьи_бюджета_2021"/>
      <sheetName val="Веса_показателей"/>
      <sheetName val="К_005"/>
      <sheetName val="Выпадающий_список"/>
      <sheetName val="6_1_хЦТЭТ"/>
      <sheetName val="тех_данные"/>
      <sheetName val="SOV_tot"/>
      <sheetName val="Приложение_1"/>
      <sheetName val="EQUIPMENT_-2"/>
      <sheetName val="rate_of_exchange"/>
      <sheetName val="Налоги_2011-2013_23_12_2010"/>
      <sheetName val="короткая_руб"/>
      <sheetName val="Отчет_о_прб_и_убыт"/>
      <sheetName val="Расчет_займов"/>
      <sheetName val="32_Амортизация_СНПЗ"/>
      <sheetName val="Справочник_студента"/>
      <sheetName val="База_сарех"/>
      <sheetName val="на_1_тут"/>
      <sheetName val="ДБ_статуса_подготовки_к_ОР"/>
      <sheetName val="справочник_(ЗВ)"/>
      <sheetName val="продукты_и_факторы"/>
      <sheetName val="контуры_ТК,_ГК"/>
      <sheetName val="P&amp;L_Summary_Page"/>
      <sheetName val="БП_2021-2025"/>
      <sheetName val="Статьи_затрат"/>
      <sheetName val="Списки_для_драйверов"/>
      <sheetName val="Справочник_3"/>
      <sheetName val="Вид_деятельности"/>
      <sheetName val="Списки_(Не_удалять!)"/>
      <sheetName val="Справочник_продукции"/>
      <sheetName val="БП_2022-2026"/>
      <sheetName val="Справочник_видов_активности"/>
      <sheetName val="Справочник_подрядчиков"/>
      <sheetName val="Bolt Up"/>
      <sheetName val="Field Handle Fittings"/>
      <sheetName val="Attach Flange"/>
      <sheetName val="Handle &amp; Erect Fab Spools"/>
      <sheetName val="Shop Handle Pipe"/>
      <sheetName val="Olet"/>
      <sheetName val="Shop Handle Fittings"/>
      <sheetName val="Valve Handle"/>
      <sheetName val="W+C+2B"/>
      <sheetName val="Шкала Статус мероприятий"/>
      <sheetName val="BP2003 181210"/>
      <sheetName val="Курс $"/>
      <sheetName val="Параметры_i"/>
      <sheetName val="_ССЫЛКА"/>
      <sheetName val="analysis"/>
      <sheetName val="КПП"/>
      <sheetName val="Баланс нпр"/>
      <sheetName val="Деб и запасы"/>
      <sheetName val="BP2003_181210"/>
      <sheetName val="Курс_$"/>
      <sheetName val="Баланс_нпр"/>
      <sheetName val="Деб_и_запасы"/>
      <sheetName val="lang"/>
      <sheetName val="3_Sum_База"/>
      <sheetName val="Отчет по прибыли"/>
      <sheetName val="по всем МВЗ(вал)"/>
      <sheetName val="Contracts"/>
      <sheetName val="Исходные"/>
      <sheetName val="Баланс нефти"/>
      <sheetName val="Доход УУН"/>
      <sheetName val="Экспорт нефти+таможня"/>
      <sheetName val="Экспорт нпр+таможня"/>
      <sheetName val="Транспорт нефти "/>
      <sheetName val="Опт нпр "/>
      <sheetName val="Трансп нпр+нефть жд"/>
      <sheetName val="Сб цены объемы"/>
      <sheetName val="Сб выручка"/>
      <sheetName val="Сб затраты"/>
      <sheetName val="Сб движ нпр"/>
      <sheetName val="Сб ддс"/>
      <sheetName val="Cб оборот"/>
      <sheetName val="нпз ддс"/>
      <sheetName val="нпз оборот"/>
      <sheetName val="нпз затраты"/>
      <sheetName val="нпз пдр"/>
      <sheetName val="нпз движение"/>
      <sheetName val="Катализаторы"/>
      <sheetName val="Реализация+покупка нефти"/>
      <sheetName val="Капвложения"/>
      <sheetName val="Цены"/>
      <sheetName val="исх"/>
      <sheetName val="Корректировка"/>
      <sheetName val="БП"/>
      <sheetName val="Май до 25"/>
      <sheetName val="Финплан в формате ПБД"/>
      <sheetName val="КВ (фин)"/>
      <sheetName val="Страница ввода"/>
      <sheetName val="Результат Диллера"/>
      <sheetName val="GRAPHS"/>
      <sheetName val="приобретение нпр"/>
      <sheetName val="93"/>
      <sheetName val="исходные данные"/>
      <sheetName val="Линейная чувствительность"/>
      <sheetName val="История"/>
      <sheetName val="Input"/>
      <sheetName val="Calculation"/>
      <sheetName val="Затраты"/>
      <sheetName val="руб 2007 план"/>
      <sheetName val="НЕДЕЛИ"/>
      <sheetName val="ст ГТМ"/>
      <sheetName val="Neste Oy"/>
      <sheetName val="П"/>
      <sheetName val="Resources"/>
      <sheetName val="Cons_Journals"/>
      <sheetName val="БЕ БИ"/>
      <sheetName val="Alliance"/>
      <sheetName val="Sever"/>
      <sheetName val="GFS"/>
      <sheetName val="Integra KRS"/>
      <sheetName val="NNGF"/>
      <sheetName val="PGF"/>
      <sheetName val="SNGF"/>
      <sheetName val="TNGF"/>
      <sheetName val="УР БО"/>
      <sheetName val="Энергия_GJ"/>
      <sheetName val="УП _2004"/>
      <sheetName val="Присадки и компоненты"/>
      <sheetName val="BP2003_1812101"/>
      <sheetName val="Курс_$1"/>
      <sheetName val="Баланс_нпр1"/>
      <sheetName val="Деб_и_запасы1"/>
      <sheetName val="Баланс_нефти"/>
      <sheetName val="Отчет_по_прибыли"/>
      <sheetName val="Доход_УУН"/>
      <sheetName val="Экспорт_нефти+таможня"/>
      <sheetName val="Экспорт_нпр+таможня"/>
      <sheetName val="Транспорт_нефти_"/>
      <sheetName val="Опт_нпр_"/>
      <sheetName val="Трансп_нпр+нефть_жд"/>
      <sheetName val="Сб_цены_объемы"/>
      <sheetName val="Сб_выручка"/>
      <sheetName val="Сб_затраты"/>
      <sheetName val="Сб_движ_нпр"/>
      <sheetName val="Сб_ддс"/>
      <sheetName val="Cб_оборот"/>
      <sheetName val="нпз_ддс"/>
      <sheetName val="нпз_оборот"/>
      <sheetName val="нпз_затраты"/>
      <sheetName val="нпз_пдр"/>
      <sheetName val="нпз_движение"/>
      <sheetName val="Реализация+покупка_нефти"/>
      <sheetName val="Май_до_25"/>
      <sheetName val="Финплан_в_формате_ПБД"/>
      <sheetName val="КВ_(фин)"/>
      <sheetName val="Страница_ввода"/>
      <sheetName val="Результат_Диллера"/>
      <sheetName val="приобретение_нпр"/>
      <sheetName val="исходные_данные"/>
      <sheetName val="Линейная_чувствительность"/>
      <sheetName val="руб_2007_план"/>
      <sheetName val="ст_ГТМ"/>
      <sheetName val="Neste_Oy"/>
      <sheetName val="БЕ_БИ"/>
      <sheetName val="Integra_KRS"/>
      <sheetName val="УР_БО"/>
      <sheetName val="по_всем_МВЗ(вал)"/>
      <sheetName val="УП__2004"/>
      <sheetName val="Присадки_и_компоненты"/>
      <sheetName val="СНГДУ-1"/>
      <sheetName val="Справочная информация"/>
      <sheetName val="справочник "/>
      <sheetName val="1-корр. 2010  НГД"/>
      <sheetName val="2016_тр"/>
      <sheetName val="Факт Dink-Inv 2004"/>
      <sheetName val="Вводные"/>
      <sheetName val="пятилетка"/>
      <sheetName val="мониторинг"/>
      <sheetName val="ПЛАСТ НП"/>
      <sheetName val="БЕ"/>
      <sheetName val="BP2003_1812102"/>
      <sheetName val="Курс_$2"/>
      <sheetName val="Баланс_нпр2"/>
      <sheetName val="Деб_и_запасы2"/>
      <sheetName val="по_всем_МВЗ(вал)1"/>
      <sheetName val="Отчет_по_прибыли1"/>
      <sheetName val="Баланс_нефти1"/>
      <sheetName val="Доход_УУН1"/>
      <sheetName val="Экспорт_нефти+таможня1"/>
      <sheetName val="Экспорт_нпр+таможня1"/>
      <sheetName val="Транспорт_нефти_1"/>
      <sheetName val="Опт_нпр_1"/>
      <sheetName val="Трансп_нпр+нефть_жд1"/>
      <sheetName val="Сб_цены_объемы1"/>
      <sheetName val="Сб_выручка1"/>
      <sheetName val="Сб_затраты1"/>
      <sheetName val="Сб_движ_нпр1"/>
      <sheetName val="Сб_ддс1"/>
      <sheetName val="Cб_оборот1"/>
      <sheetName val="нпз_ддс1"/>
      <sheetName val="нпз_оборот1"/>
      <sheetName val="нпз_затраты1"/>
      <sheetName val="нпз_пдр1"/>
      <sheetName val="нпз_движение1"/>
      <sheetName val="Реализация+покупка_нефти1"/>
      <sheetName val="Май_до_251"/>
      <sheetName val="Финплан_в_формате_ПБД1"/>
      <sheetName val="КВ_(фин)1"/>
      <sheetName val="Страница_ввода1"/>
      <sheetName val="Результат_Диллера1"/>
      <sheetName val="приобретение_нпр1"/>
      <sheetName val="исходные_данные1"/>
      <sheetName val="Линейная_чувствительность1"/>
      <sheetName val="руб_2007_план1"/>
      <sheetName val="ст_ГТМ1"/>
      <sheetName val="Neste_Oy1"/>
      <sheetName val="БЕ_БИ1"/>
      <sheetName val="Integra_KRS1"/>
      <sheetName val="УР_БО1"/>
      <sheetName val="УП__20041"/>
      <sheetName val="Справочник Данные ДО"/>
      <sheetName val="Справочники_2"/>
      <sheetName val="Definitions "/>
      <sheetName val=" Sales by site"/>
      <sheetName val="A.F.A."/>
      <sheetName val="17_MODEL_STRUCTURE"/>
      <sheetName val="Figures data"/>
      <sheetName val="DDM Alt."/>
      <sheetName val="Green VDR Index"/>
      <sheetName val="Red VDR Index"/>
      <sheetName val="Pg 65"/>
      <sheetName val="Foglio1"/>
      <sheetName val="elenchi"/>
      <sheetName val="BCVP 2009 - Positions"/>
      <sheetName val="Dropdown lists"/>
      <sheetName val="Country lists"/>
      <sheetName val="Courbe"/>
      <sheetName val="Bruttobezüge Ausgangstabell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Basic Input"/>
      <sheetName val="Feuil1"/>
      <sheetName val="CPY"/>
      <sheetName val="DATA"/>
      <sheetName val="TABLE"/>
      <sheetName val="0_Inputs"/>
      <sheetName val="Hoja1"/>
      <sheetName val="Desplegables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BQMPALOC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Members"/>
      <sheetName val="Foglio2"/>
      <sheetName val="Income statement"/>
      <sheetName val="кальк"/>
      <sheetName val="БП 2023-2027"/>
      <sheetName val="настройки"/>
      <sheetName val="Список Контрагентов"/>
      <sheetName val="Выпадающие списки"/>
      <sheetName val="Справочник КОД ЕПС"/>
      <sheetName val="DTF_drop_down_list6"/>
      <sheetName val="Data_pour_menu_déroulant6"/>
      <sheetName val="Слайд_21_ФА_ССДП_Ф-Ф"/>
      <sheetName val="Liste_agrégats_Cash_Flow2"/>
      <sheetName val="Données_LMU6"/>
      <sheetName val="Liste_agrégats_Bilan1"/>
      <sheetName val="3-Company_list2"/>
      <sheetName val="5__Management5"/>
      <sheetName val="0_4_Liste_des_entités5"/>
      <sheetName val="Waterfall_charts5"/>
      <sheetName val="Trend_mensili_IB_20045"/>
      <sheetName val="P&amp;L_Long_Period_(Report)5"/>
      <sheetName val="BCP_Asia_II1"/>
      <sheetName val="Source_onglet_input1"/>
      <sheetName val="Definitions_"/>
      <sheetName val="FY12_Customer_UK_&amp;_Int2"/>
      <sheetName val="C__Brands_and_Products2"/>
      <sheetName val="_Sales_by_site"/>
      <sheetName val="A_F_A_"/>
      <sheetName val="Figures_data"/>
      <sheetName val="DDM_Alt_"/>
      <sheetName val="Green_VDR_Index"/>
      <sheetName val="Red_VDR_Index"/>
      <sheetName val="Pg_65"/>
      <sheetName val="BCVP_2009_-_Positions"/>
      <sheetName val="Dropdown_lists"/>
      <sheetName val="Country_lists"/>
      <sheetName val="Bruttobezüge_Ausgangstabelle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Basic_Input"/>
      <sheetName val="开发产品变动表(Compelted_units)"/>
      <sheetName val="2_12_1其它货币"/>
      <sheetName val="5_9_1应交稅费明细"/>
      <sheetName val="Detail_testing_on_tax_payment"/>
      <sheetName val="Data_Shee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БП_2023-2027"/>
      <sheetName val="AOP Summary-2"/>
      <sheetName val="1.1.8_Спр-ник_Статьи цел. ср-в"/>
      <sheetName val="1.1.2_Спр-ник_Подразделение"/>
      <sheetName val="1.1.4_Спр-ник_Статьи сметы"/>
      <sheetName val="1.1.1_Спр-ник_Организация"/>
      <sheetName val="1.1.9_Справочник доверенностей"/>
      <sheetName val="1.1.5_Спр-ник_Вид деятельности"/>
      <sheetName val="1.1.3_Спр-ник_Статьи затрат"/>
      <sheetName val="Список (поступления)"/>
      <sheetName val="Prices"/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Actual payments"/>
      <sheetName val="Сумма"/>
      <sheetName val="Данные"/>
      <sheetName val="TRAFFIC CALC"/>
      <sheetName val="TRAFFIC PARM"/>
      <sheetName val="ECONOMIC DATA"/>
      <sheetName val="осв ОАО (2)"/>
      <sheetName val="Сценарии"/>
      <sheetName val="ФД"/>
      <sheetName val="Прогноз декабрь апрель 2004"/>
      <sheetName val="трансформация1"/>
      <sheetName val="BS"/>
      <sheetName val="XLR_NoRangeSheet"/>
      <sheetName val="Settl.Finanacing"/>
      <sheetName val="P&amp;L"/>
      <sheetName val="Баланс hti"/>
      <sheetName val="кфп-с-м2м "/>
      <sheetName val="MEX95IB"/>
      <sheetName val="Соответствие статей БДР-ДДС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SAS TB 6m2006"/>
      <sheetName val="WIVRA"/>
      <sheetName val="Data_CF"/>
      <sheetName val="оглавление"/>
      <sheetName val="Список регионов"/>
      <sheetName val="Информация"/>
      <sheetName val=" "/>
      <sheetName val="indicative ref margin"/>
      <sheetName val="Гренобль Ту-204"/>
      <sheetName val="Index"/>
      <sheetName val="BS Act_by month"/>
      <sheetName val="CF act"/>
      <sheetName val="CF BB"/>
      <sheetName val="HC"/>
      <sheetName val="P&amp;L Act_month"/>
      <sheetName val="P&amp;L BB_month"/>
      <sheetName val="EBITDA Bridges v Budget"/>
      <sheetName val="Input_Assumptions"/>
      <sheetName val="Bendra"/>
      <sheetName val="SAD"/>
      <sheetName val="S 60"/>
      <sheetName val="Заказы"/>
      <sheetName val="Sheet108"/>
      <sheetName val="Прогноз%20декабрь%20апрель%2020"/>
      <sheetName val="Total Revenue"/>
      <sheetName val="Segmental Analysis"/>
      <sheetName val="CPS &amp; CbC"/>
      <sheetName val="Sub group code &amp; Name"/>
      <sheetName val="Adjustment schedule"/>
      <sheetName val="Date 2"/>
      <sheetName val="Ставка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_"/>
      <sheetName val="Гренобль_Ту-204"/>
      <sheetName val="Список_регионов"/>
      <sheetName val="Выпадающие_списки"/>
      <sheetName val="Направления деятельности"/>
      <sheetName val="тех.лист"/>
      <sheetName val="РИСКИ 2010"/>
      <sheetName val="РИСКИ2011"/>
      <sheetName val="schsts"/>
      <sheetName val="Year 3"/>
      <sheetName val="ITALIANS"/>
      <sheetName val="СВОДНАЯ "/>
      <sheetName val="i-network capex costs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natl consult reg."/>
      <sheetName val="cus_HK1033"/>
      <sheetName val="Тех. реализация"/>
      <sheetName val="Macro&amp;general assump"/>
      <sheetName val="Damodaran Industry Beta 2015"/>
      <sheetName val="3. 2013 - перенос на ПМТВ"/>
      <sheetName val="Imputed %"/>
      <sheetName val="Lib BS"/>
      <sheetName val="Список компаний группы"/>
      <sheetName val="ЧМЗ Budget"/>
      <sheetName val="3.INP-GEN"/>
      <sheetName val="1.INP-Scenario"/>
      <sheetName val="Чернигов"/>
      <sheetName val="Reconciliation"/>
      <sheetName val="usage_assumption"/>
      <sheetName val="macro"/>
      <sheetName val="$Out_For_Database"/>
      <sheetName val="Rates"/>
      <sheetName val="фасады общий"/>
      <sheetName val="саратов (2)"/>
      <sheetName val="Global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Analysis_Graph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LSE_Trading Data"/>
      <sheetName val="Счетчик вопросов"/>
      <sheetName val="Client Information"/>
      <sheetName val="Segment_OIBDA"/>
      <sheetName val="с.660"/>
      <sheetName val="ДФВ"/>
      <sheetName val="устр-во опорное"/>
      <sheetName val="CurRates"/>
      <sheetName val="СТ ОЭ"/>
      <sheetName val="Lots1127"/>
      <sheetName val="Adjustment_schedule"/>
      <sheetName val="Total_Revenue"/>
      <sheetName val="Sub_group_code_&amp;_Name"/>
      <sheetName val="тех_лист"/>
      <sheetName val="COST-TZ"/>
      <sheetName val="XREF"/>
      <sheetName val="INP"/>
      <sheetName val="PL.2013.01"/>
      <sheetName val="Validation Tables"/>
      <sheetName val="1997 fin. res."/>
      <sheetName val="exch. rates"/>
      <sheetName val="IVA Estimado"/>
      <sheetName val="Доп инфо"/>
      <sheetName val="ОСВ"/>
      <sheetName val="EBITDA Bridge"/>
      <sheetName val="VKPM"/>
      <sheetName val="FA rollforward Bank"/>
      <sheetName val="dic"/>
      <sheetName val="СтрЗапасов (2)"/>
      <sheetName val="Все статьи"/>
      <sheetName val="Q 2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Список_регионов1"/>
      <sheetName val="_1"/>
      <sheetName val="Выпадающие_списки1"/>
      <sheetName val="indicative_ref_margin5"/>
      <sheetName val="Гренобль_Ту-204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Тех__реализация"/>
      <sheetName val="natl_consult_reg_"/>
      <sheetName val="Macro&amp;general_assump"/>
      <sheetName val="Damodaran_Industry_Beta_2015"/>
      <sheetName val="Факт_Dink-Inv_2004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Счетчик_вопросов"/>
      <sheetName val="Client_Information"/>
      <sheetName val="с_660"/>
      <sheetName val="устр-во_опорное"/>
      <sheetName val="СТ_ОЭ"/>
      <sheetName val="PL_2013_01"/>
      <sheetName val="Validation_Tables"/>
      <sheetName val="1997_fin__res_"/>
      <sheetName val="exch__rates"/>
      <sheetName val="Общ"/>
      <sheetName val="Katsayılar"/>
      <sheetName val="a) Core Financials"/>
      <sheetName val="ADJUST"/>
      <sheetName val="울산시산표"/>
      <sheetName val="info"/>
      <sheetName val="ExchRate"/>
      <sheetName val="Controls"/>
      <sheetName val="IncStat 03-04"/>
      <sheetName val="IncStat 03  "/>
      <sheetName val="11"/>
      <sheetName val="regs"/>
      <sheetName val="Menu"/>
      <sheetName val="Income"/>
      <sheetName val="CA1"/>
      <sheetName val="Ind. Budget"/>
      <sheetName val="fired heaters"/>
      <sheetName val="#REF"/>
      <sheetName val="MD"/>
      <sheetName val="ГК лохл"/>
      <sheetName val="FS Consol"/>
      <sheetName val="Division - Dairy"/>
      <sheetName val="Division - Juice"/>
      <sheetName val="D"/>
      <sheetName val="merger"/>
      <sheetName val="Продажа. Рынок РФ"/>
      <sheetName val="key drivers"/>
      <sheetName val="Неттинг B22_24  ЦТВ_0618 (стор)"/>
      <sheetName val="Неттинг B22_24  ЦТВ_1218 (стор)"/>
      <sheetName val="ЗШ_311219"/>
      <sheetName val="ЗШ0919"/>
      <sheetName val="ЗШ_1220"/>
      <sheetName val="check проводки"/>
      <sheetName val="ЗШ_ЦТВ_1220"/>
      <sheetName val="ЗШ_0619 "/>
      <sheetName val="ЗШ_ЦТВ_0619"/>
      <sheetName val="Check ШЗ БЕР"/>
      <sheetName val="ЗШ_1218"/>
      <sheetName val="ШЗ БЕР_0918"/>
      <sheetName val="ШЗ(0960114)"/>
      <sheetName val="ШЗ"/>
      <sheetName val="список проводок"/>
      <sheetName val="ЗШ_0319"/>
      <sheetName val="свод1 анализ МБ ФЛ"/>
      <sheetName val="свод2 анализ МБ ЮЛ"/>
      <sheetName val="свод3 анализ ФБ"/>
      <sheetName val="свод (корр)"/>
      <sheetName val="ДЗ 180 дней"/>
      <sheetName val="свод (РСБУ)"/>
      <sheetName val="свод (УКО)"/>
      <sheetName val="МБ"/>
      <sheetName val="ФБ"/>
      <sheetName val="ФБ_МРМ+СПб"/>
      <sheetName val="ТРАК"/>
      <sheetName val="не мигр.дз"/>
      <sheetName val="не мигр.дз (1220)"/>
      <sheetName val="данные ЦТВ"/>
      <sheetName val="Данные РИКТ"/>
      <sheetName val="Неттинг по фин бл ЦТВ"/>
      <sheetName val="изменен куб МБ"/>
      <sheetName val="Неттинг B22_24  ЦТВ_0318"/>
      <sheetName val="SV3"/>
      <sheetName val="SV2"/>
      <sheetName val="SV1"/>
      <sheetName val="ОСВ ГК_62_63сч"/>
      <sheetName val="меппинг БЕ, срока ДЗ"/>
      <sheetName val="соотв-е счетов"/>
      <sheetName val="Data new"/>
      <sheetName val="спр-к ДУД"/>
      <sheetName val="БМ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>
        <row r="26">
          <cell r="C26" t="str">
            <v>Налог на прибыль</v>
          </cell>
        </row>
      </sheetData>
      <sheetData sheetId="260">
        <row r="26">
          <cell r="C26" t="str">
            <v>Налог на прибыль</v>
          </cell>
        </row>
      </sheetData>
      <sheetData sheetId="261">
        <row r="26">
          <cell r="C26" t="str">
            <v>Налог на прибыль</v>
          </cell>
        </row>
      </sheetData>
      <sheetData sheetId="262">
        <row r="26">
          <cell r="C26" t="str">
            <v>Налог на прибыль</v>
          </cell>
        </row>
      </sheetData>
      <sheetData sheetId="263">
        <row r="26">
          <cell r="C26" t="str">
            <v>Налог на прибыль</v>
          </cell>
        </row>
      </sheetData>
      <sheetData sheetId="264">
        <row r="26">
          <cell r="C26" t="str">
            <v>Налог на прибыль</v>
          </cell>
        </row>
      </sheetData>
      <sheetData sheetId="265">
        <row r="26">
          <cell r="C26" t="str">
            <v>Налог на прибыль</v>
          </cell>
        </row>
      </sheetData>
      <sheetData sheetId="266">
        <row r="26">
          <cell r="C26" t="str">
            <v>Налог на прибыль</v>
          </cell>
        </row>
      </sheetData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>
        <row r="26">
          <cell r="C26" t="str">
            <v>Налог на прибыль</v>
          </cell>
        </row>
      </sheetData>
      <sheetData sheetId="683">
        <row r="26">
          <cell r="C26" t="str">
            <v>Налог на прибыль</v>
          </cell>
        </row>
      </sheetData>
      <sheetData sheetId="684">
        <row r="26">
          <cell r="C26" t="str">
            <v>Налог на прибыль</v>
          </cell>
        </row>
      </sheetData>
      <sheetData sheetId="685">
        <row r="26">
          <cell r="C26" t="str">
            <v>Налог на прибыль</v>
          </cell>
        </row>
      </sheetData>
      <sheetData sheetId="686">
        <row r="26">
          <cell r="C26" t="str">
            <v>Налог на прибыль</v>
          </cell>
        </row>
      </sheetData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>
        <row r="26">
          <cell r="C26" t="str">
            <v>Налог на прибыль</v>
          </cell>
        </row>
      </sheetData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 refreshError="1"/>
      <sheetData sheetId="1029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>
        <row r="26">
          <cell r="C26" t="str">
            <v>Налог на прибыль</v>
          </cell>
        </row>
      </sheetData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>
        <row r="26">
          <cell r="C26" t="str">
            <v>Налог на прибыль</v>
          </cell>
        </row>
      </sheetData>
      <sheetData sheetId="1228">
        <row r="26">
          <cell r="C26" t="str">
            <v>Налог на прибыль</v>
          </cell>
        </row>
      </sheetData>
      <sheetData sheetId="1229">
        <row r="26">
          <cell r="C26" t="str">
            <v>Налог на прибыль</v>
          </cell>
        </row>
      </sheetData>
      <sheetData sheetId="1230">
        <row r="26">
          <cell r="C26" t="str">
            <v>Налог на прибыль</v>
          </cell>
        </row>
      </sheetData>
      <sheetData sheetId="1231">
        <row r="26">
          <cell r="C26" t="str">
            <v>Налог на прибыль</v>
          </cell>
        </row>
      </sheetData>
      <sheetData sheetId="1232">
        <row r="26">
          <cell r="C26" t="str">
            <v>Налог на прибыль</v>
          </cell>
        </row>
      </sheetData>
      <sheetData sheetId="1233">
        <row r="26">
          <cell r="C26" t="str">
            <v>Налог на прибыль</v>
          </cell>
        </row>
      </sheetData>
      <sheetData sheetId="1234">
        <row r="26">
          <cell r="C26" t="str">
            <v>Налог на прибыль</v>
          </cell>
        </row>
      </sheetData>
      <sheetData sheetId="1235">
        <row r="26">
          <cell r="C26" t="str">
            <v>Налог на прибыль</v>
          </cell>
        </row>
      </sheetData>
      <sheetData sheetId="1236"/>
      <sheetData sheetId="1237">
        <row r="26">
          <cell r="C26" t="str">
            <v>Налог на прибыль</v>
          </cell>
        </row>
      </sheetData>
      <sheetData sheetId="1238"/>
      <sheetData sheetId="1239">
        <row r="26">
          <cell r="C26" t="str">
            <v>Налог на прибыль</v>
          </cell>
        </row>
      </sheetData>
      <sheetData sheetId="1240">
        <row r="26">
          <cell r="C26" t="str">
            <v>Налог на прибыль</v>
          </cell>
        </row>
      </sheetData>
      <sheetData sheetId="1241">
        <row r="26">
          <cell r="C26" t="str">
            <v>Налог на прибыль</v>
          </cell>
        </row>
      </sheetData>
      <sheetData sheetId="1242">
        <row r="26">
          <cell r="C26" t="str">
            <v>Налог на прибыль</v>
          </cell>
        </row>
      </sheetData>
      <sheetData sheetId="1243">
        <row r="26">
          <cell r="C26" t="str">
            <v>Налог на прибыль</v>
          </cell>
        </row>
      </sheetData>
      <sheetData sheetId="1244">
        <row r="26">
          <cell r="C26" t="str">
            <v>Налог на прибыль</v>
          </cell>
        </row>
      </sheetData>
      <sheetData sheetId="1245">
        <row r="26">
          <cell r="C26" t="str">
            <v>Налог на прибыль</v>
          </cell>
        </row>
      </sheetData>
      <sheetData sheetId="1246">
        <row r="26">
          <cell r="C26" t="str">
            <v>Налог на прибыль</v>
          </cell>
        </row>
      </sheetData>
      <sheetData sheetId="1247">
        <row r="26">
          <cell r="C26" t="str">
            <v>Налог на прибыль</v>
          </cell>
        </row>
      </sheetData>
      <sheetData sheetId="1248">
        <row r="26">
          <cell r="C26" t="str">
            <v>Налог на прибыль</v>
          </cell>
        </row>
      </sheetData>
      <sheetData sheetId="1249">
        <row r="26">
          <cell r="C26" t="str">
            <v>Налог на прибыль</v>
          </cell>
        </row>
      </sheetData>
      <sheetData sheetId="1250">
        <row r="26">
          <cell r="C26" t="str">
            <v>Налог на прибыль</v>
          </cell>
        </row>
      </sheetData>
      <sheetData sheetId="1251">
        <row r="26">
          <cell r="C26" t="str">
            <v>Налог на прибыль</v>
          </cell>
        </row>
      </sheetData>
      <sheetData sheetId="1252"/>
      <sheetData sheetId="1253">
        <row r="26">
          <cell r="C26" t="str">
            <v>Налог на прибыль</v>
          </cell>
        </row>
      </sheetData>
      <sheetData sheetId="1254">
        <row r="26">
          <cell r="C26" t="str">
            <v>Налог на прибыль</v>
          </cell>
        </row>
      </sheetData>
      <sheetData sheetId="1255">
        <row r="26">
          <cell r="C26" t="str">
            <v>Налог на прибыль</v>
          </cell>
        </row>
      </sheetData>
      <sheetData sheetId="1256">
        <row r="26">
          <cell r="C26" t="str">
            <v>Налог на прибыль</v>
          </cell>
        </row>
      </sheetData>
      <sheetData sheetId="1257">
        <row r="26">
          <cell r="C26" t="str">
            <v>Налог на прибыль</v>
          </cell>
        </row>
      </sheetData>
      <sheetData sheetId="1258"/>
      <sheetData sheetId="1259">
        <row r="26">
          <cell r="C26" t="str">
            <v>Налог на прибыль</v>
          </cell>
        </row>
      </sheetData>
      <sheetData sheetId="1260">
        <row r="26">
          <cell r="C26" t="str">
            <v>Налог на прибыль</v>
          </cell>
        </row>
      </sheetData>
      <sheetData sheetId="1261">
        <row r="26">
          <cell r="C26" t="str">
            <v>Налог на прибыль</v>
          </cell>
        </row>
      </sheetData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>
        <row r="26">
          <cell r="C26" t="str">
            <v>Налог на прибыль</v>
          </cell>
        </row>
      </sheetData>
      <sheetData sheetId="1272">
        <row r="26">
          <cell r="C26" t="str">
            <v>Налог на прибыль</v>
          </cell>
        </row>
      </sheetData>
      <sheetData sheetId="1273">
        <row r="26">
          <cell r="C26" t="str">
            <v>Налог на прибыль</v>
          </cell>
        </row>
      </sheetData>
      <sheetData sheetId="1274">
        <row r="26">
          <cell r="C26" t="str">
            <v>Налог на прибыль</v>
          </cell>
        </row>
      </sheetData>
      <sheetData sheetId="1275">
        <row r="26">
          <cell r="C26" t="str">
            <v>Налог на прибыль</v>
          </cell>
        </row>
      </sheetData>
      <sheetData sheetId="1276">
        <row r="26">
          <cell r="C26" t="str">
            <v>Налог на прибыль</v>
          </cell>
        </row>
      </sheetData>
      <sheetData sheetId="1277">
        <row r="26">
          <cell r="C26" t="str">
            <v>Налог на прибыль</v>
          </cell>
        </row>
      </sheetData>
      <sheetData sheetId="1278">
        <row r="26">
          <cell r="C26" t="str">
            <v>Налог на прибыль</v>
          </cell>
        </row>
      </sheetData>
      <sheetData sheetId="1279">
        <row r="26">
          <cell r="C26" t="str">
            <v>Налог на прибыль</v>
          </cell>
        </row>
      </sheetData>
      <sheetData sheetId="1280">
        <row r="26">
          <cell r="C26" t="str">
            <v>Налог на прибыль</v>
          </cell>
        </row>
      </sheetData>
      <sheetData sheetId="1281">
        <row r="26">
          <cell r="C26" t="str">
            <v>Налог на прибыль</v>
          </cell>
        </row>
      </sheetData>
      <sheetData sheetId="1282">
        <row r="26">
          <cell r="C26" t="str">
            <v>Налог на прибыль</v>
          </cell>
        </row>
      </sheetData>
      <sheetData sheetId="1283">
        <row r="26">
          <cell r="C26" t="str">
            <v>Налог на прибыль</v>
          </cell>
        </row>
      </sheetData>
      <sheetData sheetId="1284">
        <row r="26">
          <cell r="C26" t="str">
            <v>Налог на прибыль</v>
          </cell>
        </row>
      </sheetData>
      <sheetData sheetId="1285">
        <row r="26">
          <cell r="C26" t="str">
            <v>Налог на прибыль</v>
          </cell>
        </row>
      </sheetData>
      <sheetData sheetId="1286">
        <row r="26">
          <cell r="C26" t="str">
            <v>Налог на прибыль</v>
          </cell>
        </row>
      </sheetData>
      <sheetData sheetId="1287">
        <row r="26">
          <cell r="C26" t="str">
            <v>Налог на прибыль</v>
          </cell>
        </row>
      </sheetData>
      <sheetData sheetId="1288">
        <row r="26">
          <cell r="C26" t="str">
            <v>Налог на прибыль</v>
          </cell>
        </row>
      </sheetData>
      <sheetData sheetId="1289">
        <row r="26">
          <cell r="C26" t="str">
            <v>Налог на прибыль</v>
          </cell>
        </row>
      </sheetData>
      <sheetData sheetId="1290">
        <row r="26">
          <cell r="C26" t="str">
            <v>Налог на прибыль</v>
          </cell>
        </row>
      </sheetData>
      <sheetData sheetId="1291">
        <row r="26">
          <cell r="C26" t="str">
            <v>Налог на прибыль</v>
          </cell>
        </row>
      </sheetData>
      <sheetData sheetId="1292">
        <row r="26">
          <cell r="C26" t="str">
            <v>Налог на прибыль</v>
          </cell>
        </row>
      </sheetData>
      <sheetData sheetId="1293">
        <row r="26">
          <cell r="C26" t="str">
            <v>Налог на прибыль</v>
          </cell>
        </row>
      </sheetData>
      <sheetData sheetId="1294">
        <row r="26">
          <cell r="C26" t="str">
            <v>Налог на прибыль</v>
          </cell>
        </row>
      </sheetData>
      <sheetData sheetId="1295">
        <row r="26">
          <cell r="C26" t="str">
            <v>Налог на прибыль</v>
          </cell>
        </row>
      </sheetData>
      <sheetData sheetId="1296">
        <row r="26">
          <cell r="C26" t="str">
            <v>Налог на прибыль</v>
          </cell>
        </row>
      </sheetData>
      <sheetData sheetId="1297">
        <row r="26">
          <cell r="C26" t="str">
            <v>Налог на прибыль</v>
          </cell>
        </row>
      </sheetData>
      <sheetData sheetId="1298">
        <row r="26">
          <cell r="C26" t="str">
            <v>Налог на прибыль</v>
          </cell>
        </row>
      </sheetData>
      <sheetData sheetId="1299">
        <row r="26">
          <cell r="C26" t="str">
            <v>Налог на прибыль</v>
          </cell>
        </row>
      </sheetData>
      <sheetData sheetId="1300">
        <row r="26">
          <cell r="C26" t="str">
            <v>Налог на прибыль</v>
          </cell>
        </row>
      </sheetData>
      <sheetData sheetId="1301">
        <row r="26">
          <cell r="C26" t="str">
            <v>Налог на прибыль</v>
          </cell>
        </row>
      </sheetData>
      <sheetData sheetId="1302">
        <row r="26">
          <cell r="C26" t="str">
            <v>Налог на прибыль</v>
          </cell>
        </row>
      </sheetData>
      <sheetData sheetId="1303">
        <row r="26">
          <cell r="C26" t="str">
            <v>Налог на прибыль</v>
          </cell>
        </row>
      </sheetData>
      <sheetData sheetId="1304">
        <row r="26">
          <cell r="C26" t="str">
            <v>Налог на прибыль</v>
          </cell>
        </row>
      </sheetData>
      <sheetData sheetId="1305">
        <row r="26">
          <cell r="C26" t="str">
            <v>Налог на прибыль</v>
          </cell>
        </row>
      </sheetData>
      <sheetData sheetId="1306">
        <row r="26">
          <cell r="C26" t="str">
            <v>Налог на прибыль</v>
          </cell>
        </row>
      </sheetData>
      <sheetData sheetId="1307">
        <row r="26">
          <cell r="C26" t="str">
            <v>Налог на прибыль</v>
          </cell>
        </row>
      </sheetData>
      <sheetData sheetId="1308">
        <row r="26">
          <cell r="C26" t="str">
            <v>Налог на прибыль</v>
          </cell>
        </row>
      </sheetData>
      <sheetData sheetId="1309">
        <row r="26">
          <cell r="C26" t="str">
            <v>Налог на прибыль</v>
          </cell>
        </row>
      </sheetData>
      <sheetData sheetId="1310">
        <row r="26">
          <cell r="C26" t="str">
            <v>Налог на прибыль</v>
          </cell>
        </row>
      </sheetData>
      <sheetData sheetId="1311">
        <row r="26">
          <cell r="C26" t="str">
            <v>Налог на прибыль</v>
          </cell>
        </row>
      </sheetData>
      <sheetData sheetId="1312">
        <row r="26">
          <cell r="C26" t="str">
            <v>Налог на прибыль</v>
          </cell>
        </row>
      </sheetData>
      <sheetData sheetId="1313">
        <row r="26">
          <cell r="C26" t="str">
            <v>Налог на прибыль</v>
          </cell>
        </row>
      </sheetData>
      <sheetData sheetId="1314">
        <row r="26">
          <cell r="C26" t="str">
            <v>Налог на прибыль</v>
          </cell>
        </row>
      </sheetData>
      <sheetData sheetId="1315">
        <row r="26">
          <cell r="C26" t="str">
            <v>Налог на прибыль</v>
          </cell>
        </row>
      </sheetData>
      <sheetData sheetId="1316">
        <row r="26">
          <cell r="C26" t="str">
            <v>Налог на прибыль</v>
          </cell>
        </row>
      </sheetData>
      <sheetData sheetId="1317">
        <row r="26">
          <cell r="C26" t="str">
            <v>Налог на прибыль</v>
          </cell>
        </row>
      </sheetData>
      <sheetData sheetId="1318">
        <row r="26">
          <cell r="C26" t="str">
            <v>Налог на прибыль</v>
          </cell>
        </row>
      </sheetData>
      <sheetData sheetId="1319">
        <row r="26">
          <cell r="C26" t="str">
            <v>Налог на прибыль</v>
          </cell>
        </row>
      </sheetData>
      <sheetData sheetId="1320">
        <row r="26">
          <cell r="C26" t="str">
            <v>Налог на прибыль</v>
          </cell>
        </row>
      </sheetData>
      <sheetData sheetId="1321">
        <row r="26">
          <cell r="C26" t="str">
            <v>Налог на прибыль</v>
          </cell>
        </row>
      </sheetData>
      <sheetData sheetId="1322">
        <row r="26">
          <cell r="C26" t="str">
            <v>Налог на прибыль</v>
          </cell>
        </row>
      </sheetData>
      <sheetData sheetId="1323">
        <row r="26">
          <cell r="C26" t="str">
            <v>Налог на прибыль</v>
          </cell>
        </row>
      </sheetData>
      <sheetData sheetId="1324">
        <row r="26">
          <cell r="C26" t="str">
            <v>Налог на прибыль</v>
          </cell>
        </row>
      </sheetData>
      <sheetData sheetId="1325">
        <row r="26">
          <cell r="C26" t="str">
            <v>Налог на прибыль</v>
          </cell>
        </row>
      </sheetData>
      <sheetData sheetId="1326">
        <row r="26">
          <cell r="C26" t="str">
            <v>Налог на прибыль</v>
          </cell>
        </row>
      </sheetData>
      <sheetData sheetId="1327">
        <row r="26">
          <cell r="C26" t="str">
            <v>Налог на прибыль</v>
          </cell>
        </row>
      </sheetData>
      <sheetData sheetId="1328">
        <row r="26">
          <cell r="C26" t="str">
            <v>Налог на прибыль</v>
          </cell>
        </row>
      </sheetData>
      <sheetData sheetId="1329">
        <row r="26">
          <cell r="C26" t="str">
            <v>Налог на прибыль</v>
          </cell>
        </row>
      </sheetData>
      <sheetData sheetId="1330">
        <row r="26">
          <cell r="C26" t="str">
            <v>Налог на прибыль</v>
          </cell>
        </row>
      </sheetData>
      <sheetData sheetId="1331">
        <row r="26">
          <cell r="C26" t="str">
            <v>Налог на прибыль</v>
          </cell>
        </row>
      </sheetData>
      <sheetData sheetId="1332">
        <row r="26">
          <cell r="C26" t="str">
            <v>Налог на прибыль</v>
          </cell>
        </row>
      </sheetData>
      <sheetData sheetId="1333">
        <row r="26">
          <cell r="C26" t="str">
            <v>Налог на прибыль</v>
          </cell>
        </row>
      </sheetData>
      <sheetData sheetId="1334">
        <row r="26">
          <cell r="C26" t="str">
            <v>Налог на прибыль</v>
          </cell>
        </row>
      </sheetData>
      <sheetData sheetId="1335">
        <row r="26">
          <cell r="C26" t="str">
            <v>Налог на прибыль</v>
          </cell>
        </row>
      </sheetData>
      <sheetData sheetId="1336">
        <row r="26">
          <cell r="C26" t="str">
            <v>Налог на прибыль</v>
          </cell>
        </row>
      </sheetData>
      <sheetData sheetId="1337">
        <row r="26">
          <cell r="C26" t="str">
            <v>Налог на прибыль</v>
          </cell>
        </row>
      </sheetData>
      <sheetData sheetId="1338">
        <row r="26">
          <cell r="C26" t="str">
            <v>Налог на прибыль</v>
          </cell>
        </row>
      </sheetData>
      <sheetData sheetId="1339">
        <row r="26">
          <cell r="C26" t="str">
            <v>Налог на прибыль</v>
          </cell>
        </row>
      </sheetData>
      <sheetData sheetId="1340">
        <row r="26">
          <cell r="C26" t="str">
            <v>Налог на прибыль</v>
          </cell>
        </row>
      </sheetData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>
        <row r="26">
          <cell r="C26" t="str">
            <v>Налог на прибыль</v>
          </cell>
        </row>
      </sheetData>
      <sheetData sheetId="1352"/>
      <sheetData sheetId="1353" refreshError="1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/>
      <sheetData sheetId="1375"/>
      <sheetData sheetId="1376"/>
      <sheetData sheetId="1377"/>
      <sheetData sheetId="1378"/>
      <sheetData sheetId="1379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>
        <row r="26">
          <cell r="C26" t="str">
            <v>Налог на прибыль</v>
          </cell>
        </row>
      </sheetData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/>
      <sheetData sheetId="1504"/>
      <sheetData sheetId="1505"/>
      <sheetData sheetId="1506"/>
      <sheetData sheetId="1507" refreshError="1"/>
      <sheetData sheetId="1508" refreshError="1"/>
      <sheetData sheetId="1509"/>
      <sheetData sheetId="1510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.-взвеш. оценка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3 Справочник &quot;Контрагенты&quot;"/>
    </sheetNames>
    <sheetDataSet>
      <sheetData sheetId="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шины и оборудование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  <sheetName val="Отчет о реализации площадей"/>
      <sheetName val="EKIPMAN"/>
      <sheetName val="31 EKİM 2006 PROJEKSİYON"/>
      <sheetName val="detailed breakdown cl"/>
      <sheetName val="cus_HK1033"/>
      <sheetName val="Расчёт_20053"/>
      <sheetName val="Золотая_гавань3"/>
      <sheetName val="Гражданка-Сити_1_оч_3"/>
      <sheetName val="Гражданка-Сити_2_оч_3"/>
      <sheetName val="Гражданка-Сити_-_23"/>
      <sheetName val="Созвездие_1_оч_3"/>
      <sheetName val="Созвездие_2_оч_3"/>
      <sheetName val="Созвездие_3_оч_3"/>
      <sheetName val="Пр__затр__по_Созвездию-расчет3"/>
      <sheetName val="пр__Славы3"/>
      <sheetName val="Живой_Ручей3"/>
      <sheetName val="ул__Чекистов3"/>
      <sheetName val="Оплата_по_графикам3"/>
      <sheetName val="POW"/>
      <sheetName val="OFFER SUMMARY (USD)"/>
      <sheetName val="Cost of MH"/>
      <sheetName val="Maliyet Analizleri"/>
      <sheetName val="Breakdown CAPEX (PBC)"/>
      <sheetName val="DATA"/>
      <sheetName val="Kapak"/>
      <sheetName val="Data Input"/>
      <sheetName val="1.1 Input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>
        <row r="4">
          <cell r="K4">
            <v>4000</v>
          </cell>
        </row>
      </sheetData>
      <sheetData sheetId="67">
        <row r="4">
          <cell r="K4">
            <v>4000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 refreshError="1"/>
      <sheetData sheetId="133" refreshError="1"/>
      <sheetData sheetId="134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_подх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ВЫШЕ НОЛЯ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ТЭП 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 капитализации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торн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са_СКЛАД"/>
    </sheetNames>
    <sheetDataSet>
      <sheetData sheetId="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C_ratios_Jun"/>
      <sheetName val="Read me first"/>
    </sheetNames>
    <sheetDataSet>
      <sheetData sheetId="0" refreshError="1"/>
      <sheetData sheetId="1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</sheetNames>
    <sheetDataSet>
      <sheetData sheetId="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Inside"/>
    </sheetNames>
    <sheetDataSet>
      <sheetData sheetId="0" refreshError="1"/>
      <sheetData sheetId="1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2,0201,1010,0"/>
    </sheetNames>
    <sheetDataSet>
      <sheetData sheetId="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_sheet"/>
    </sheetNames>
    <sheetDataSet>
      <sheetData sheetId="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s"/>
      <sheetName val="BaseTable"/>
    </sheet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</sheetNames>
    <sheetDataSet>
      <sheetData sheetId="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</sheetNames>
    <sheetDataSet>
      <sheetData sheetId="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RAV"/>
    </sheetNames>
    <sheetDataSet>
      <sheetData sheetId="0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  <sheetName val="shpr&amp;vol"/>
      <sheetName val="table data"/>
      <sheetName val="Presentation_Output3"/>
      <sheetName val="NASE_Oil-Revenue3"/>
      <sheetName val="Balance_Sh+Indices3"/>
      <sheetName val="Исходные_данные3"/>
      <sheetName val="БДР,_БДДС_по_месяцам_(прям)3"/>
      <sheetName val="БДР,_БДДС_по_месяцам_(косв)3"/>
      <sheetName val="Капитальные_затраты3"/>
      <sheetName val="Анализ_Монте-Карло3"/>
      <sheetName val="LFA_20013"/>
      <sheetName val="Natl_Consult_Reg_3"/>
      <sheetName val="Cost_Allocation3"/>
      <sheetName val="1996_год2"/>
      <sheetName val="Газ_и_э-э3"/>
      <sheetName val="БДР_кв3"/>
      <sheetName val="VCost,_usl2"/>
      <sheetName val="U2_60_Capital_repairs2"/>
      <sheetName val="Comps_analysis_(spare)2"/>
      <sheetName val="Proj__Bal_2"/>
      <sheetName val="Income_Statement2"/>
      <sheetName val="Таблица_рассрочки2"/>
      <sheetName val="Presentation_Output2"/>
      <sheetName val="NASE_Oil-Revenue2"/>
      <sheetName val="Balance_Sh+Indices2"/>
      <sheetName val="Исходные_данные2"/>
      <sheetName val="БДР,_БДДС_по_месяцам_(прям)2"/>
      <sheetName val="БДР,_БДДС_по_месяцам_(косв)2"/>
      <sheetName val="Капитальные_затраты2"/>
      <sheetName val="Анализ_Монте-Карло2"/>
      <sheetName val="LFA_20012"/>
      <sheetName val="Natl_Consult_Reg_2"/>
      <sheetName val="Cost_Allocation2"/>
      <sheetName val="1996_год1"/>
      <sheetName val="Газ_и_э-э2"/>
      <sheetName val="БДР_кв2"/>
      <sheetName val="VCost,_usl1"/>
      <sheetName val="U2_60_Capital_repairs1"/>
      <sheetName val="Comps_analysis_(spare)1"/>
      <sheetName val="Proj__Bal_1"/>
      <sheetName val="Income_Statement1"/>
      <sheetName val="Таблица_рассрочки1"/>
      <sheetName val="Anlagevermögen"/>
      <sheetName val="teo model"/>
      <sheetName val="sal"/>
      <sheetName val="Опции"/>
      <sheetName val="CALC"/>
      <sheetName val="Итого М. (2)"/>
      <sheetName val="Occ"/>
      <sheetName val="Summ"/>
      <sheetName val="Plan"/>
      <sheetName val="Финпоказатели"/>
      <sheetName val="Dutch Peers data"/>
      <sheetName val="SI"/>
      <sheetName val="справка"/>
      <sheetName val="Planalto_2012"/>
      <sheetName val="LiB"/>
      <sheetName val="share price 2002"/>
      <sheetName val="ref"/>
      <sheetName val="Svr Eur"/>
      <sheetName val="EMBI"/>
      <sheetName val="% гп 2 зар"/>
      <sheetName val="MAIN"/>
      <sheetName val="fes"/>
      <sheetName val="Корр"/>
      <sheetName val="Справочники WFM"/>
      <sheetName val="Бпроектов и расх.для БДР 2009"/>
      <sheetName val="МАТРИЦА"/>
      <sheetName val="Динамика цен"/>
      <sheetName val="Производство молока"/>
      <sheetName val="Title"/>
      <sheetName val="корпус 1_2выписка"/>
      <sheetName val="корпус 1_3"/>
      <sheetName val="корпус 1_3выписка"/>
      <sheetName val="Лист2"/>
      <sheetName val="Реестр договоров"/>
      <sheetName val="AOP Summary-2"/>
      <sheetName val="C.1.Допущения"/>
      <sheetName val="C.1.D.1.Допущения"/>
      <sheetName val="C.1.D.1.Технический лист"/>
      <sheetName val="C.1.D.1.Себестоимость"/>
      <sheetName val="C.1.D.1.ПрочаяВыручка"/>
      <sheetName val="C.1.D.1.Цена"/>
      <sheetName val="C.1.D.1.Производство"/>
      <sheetName val="C.1.D.1.Выручка"/>
      <sheetName val="C.1.D.1.КоммУпрРасх"/>
      <sheetName val="C.1.D.2.Допущения"/>
      <sheetName val="C.1.D.2.Технический лист"/>
      <sheetName val="C.1.D.2.Себестоимость"/>
      <sheetName val="C.1.D.2.ПрочаяВыручка"/>
      <sheetName val="C.1.D.2.Цена"/>
      <sheetName val="C.1.D.2.Производство"/>
      <sheetName val="C.1.D.2.Выручка"/>
      <sheetName val="C.1.D.2.КоммУпрРасх"/>
      <sheetName val="C.1.Долг"/>
      <sheetName val="C.1.Себестоимость"/>
      <sheetName val="C.1.Цена"/>
      <sheetName val="C.1.Производство"/>
      <sheetName val="Автосуммирование"/>
      <sheetName val="C.1.КоммУпрРасх"/>
      <sheetName val="C.1.Консолидация"/>
      <sheetName val="Choice"/>
      <sheetName val="Dir"/>
      <sheetName val="C.1.ОДДС"/>
      <sheetName val="C.1.Проверки"/>
      <sheetName val="C.1.Выручка"/>
      <sheetName val="Лист1"/>
      <sheetName val="мироненко"/>
      <sheetName val="Сводная таблица пользователей"/>
      <sheetName val="2.3."/>
      <sheetName val="3.0.4."/>
      <sheetName val="3.1.1."/>
      <sheetName val="3.1.2."/>
      <sheetName val="3.1.3."/>
      <sheetName val="3.1.4."/>
      <sheetName val="3.2.1."/>
      <sheetName val="3.2.2."/>
      <sheetName val="3.2.3."/>
      <sheetName val="3.2.4."/>
      <sheetName val="3.3.1."/>
      <sheetName val="3.3.3."/>
      <sheetName val="3.3.4."/>
      <sheetName val="3.4.1."/>
      <sheetName val="3.4.3."/>
      <sheetName val="3.4.4."/>
      <sheetName val="3.5.1."/>
      <sheetName val="4.0.3."/>
      <sheetName val="4.1.1."/>
      <sheetName val="4.1.2."/>
      <sheetName val="4.1.3."/>
      <sheetName val="4.2.1."/>
      <sheetName val="4.2.2."/>
      <sheetName val="4.2.3."/>
      <sheetName val="4.3.1."/>
      <sheetName val="4.3.2."/>
      <sheetName val="4.3.3."/>
      <sheetName val="4.4.1."/>
      <sheetName val="4.4.2."/>
      <sheetName val="4.5."/>
      <sheetName val="4.6."/>
      <sheetName val="5.4.0."/>
      <sheetName val="5.4.1."/>
      <sheetName val="Справочник"/>
      <sheetName val="PARAMETRES"/>
      <sheetName val="пр-во"/>
      <sheetName val="ФСИ-БУ-70_71"/>
      <sheetName val="ФСИ-БУ-75"/>
      <sheetName val="ФСИ-БУ-76"/>
      <sheetName val="ФСИ-БУ-97"/>
      <sheetName val="ФСИ-БУ-99"/>
      <sheetName val="ПДРпоТЗдейств"/>
      <sheetName val="ЗакТек"/>
      <sheetName val="ПРдбп"/>
      <sheetName val="Себ"/>
      <sheetName val="Соц"/>
      <sheetName val="МеропрСвод"/>
      <sheetName val="Сметы"/>
      <sheetName val="Запасы"/>
      <sheetName val="ФинИнв"/>
      <sheetName val="КМР"/>
      <sheetName val="БИФ"/>
      <sheetName val="Плат"/>
      <sheetName val="РБП"/>
      <sheetName val="ОСиНМА"/>
      <sheetName val="ПДРпоТЗсопост"/>
      <sheetName val="ПрДР"/>
      <sheetName val="Кредиты"/>
      <sheetName val="Перс"/>
      <sheetName val="Поступл"/>
      <sheetName val="ПРтпп"/>
      <sheetName val="ХранилищеСкрыть"/>
      <sheetName val="ListSetup"/>
      <sheetName val="Filtr"/>
      <sheetName val="Основной расчётный лист"/>
      <sheetName val="Сводный лист"/>
      <sheetName val="Сводный бюджет"/>
      <sheetName val="PPM RF"/>
      <sheetName val="koszty"/>
      <sheetName val="boq 104 ad 2 excav"/>
      <sheetName val="АСГВК"/>
      <sheetName val="СВР"/>
      <sheetName val="Presentation_Output4"/>
      <sheetName val="NASE_Oil-Revenue4"/>
      <sheetName val="Balance_Sh+Indices4"/>
      <sheetName val="Исходные_данные4"/>
      <sheetName val="БДР,_БДДС_по_месяцам_(прям)4"/>
      <sheetName val="БДР,_БДДС_по_месяцам_(косв)4"/>
      <sheetName val="Капитальные_затраты4"/>
      <sheetName val="Анализ_Монте-Карло4"/>
      <sheetName val="LFA_20014"/>
      <sheetName val="Natl_Consult_Reg_4"/>
      <sheetName val="Cost_Allocation4"/>
      <sheetName val="1996_год3"/>
      <sheetName val="Газ_и_э-э4"/>
      <sheetName val="БДР_кв4"/>
      <sheetName val="VCost,_usl3"/>
      <sheetName val="U2_60_Capital_repairs3"/>
      <sheetName val="Comps_analysis_(spare)3"/>
      <sheetName val="Proj__Bal_3"/>
      <sheetName val="Income_Statement3"/>
      <sheetName val="Таблица_рассрочки3"/>
      <sheetName val="Scen"/>
      <sheetName val="Entities"/>
      <sheetName val="Summary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</sheetNames>
    <sheetDataSet>
      <sheetData sheetId="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</sheetNames>
    <sheetDataSet>
      <sheetData sheetId="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</sheetNames>
    <sheetDataSet>
      <sheetData sheetId="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cs_Values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Cap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CC"/>
    </sheetNames>
    <sheetDataSet>
      <sheetData sheetId="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</sheetNames>
    <sheetDataSet>
      <sheetData sheetId="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  <sheetName val="Adam-saat Kod"/>
      <sheetName val="mp-var-001"/>
      <sheetName val="electric mechanic"/>
      <sheetName val="Kurlar"/>
      <sheetName val="#ref"/>
      <sheetName val="Parite"/>
      <sheetName val="b25 (m350) beton maliyet analiz"/>
      <sheetName val="Data Sheet"/>
      <sheetName val="Direct Budget"/>
      <sheetName val="10"/>
      <sheetName val="5"/>
      <sheetName val="Tables"/>
      <sheetName val="14"/>
      <sheetName val="kur-parite"/>
      <sheetName val="списки"/>
      <sheetName val="ТЭП"/>
      <sheetName val="AOP_Summary-2"/>
      <sheetName val="Breakdown_CAPEX_(PBC)"/>
      <sheetName val="каскад,5"/>
      <sheetName val="бог"/>
      <sheetName val="мфтц,к.4"/>
      <sheetName val="Справочники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ing data"/>
      <sheetName val="Print Calc"/>
    </sheetNames>
    <sheetDataSet>
      <sheetData sheetId="0" refreshError="1"/>
      <sheetData sheetId="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ряд"/>
    </sheetNames>
    <sheetDataSet>
      <sheetData sheetId="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  <sheetName val="УЧАСТКИ"/>
      <sheetName val="temp_for_sw"/>
      <sheetName val="costs_list_for_sw"/>
      <sheetName val="rates_for_sw"/>
      <sheetName val="costs_whole_for_sw"/>
      <sheetName val="Общие"/>
      <sheetName val="DB2002"/>
      <sheetName val="РСБУ_МСФО"/>
      <sheetName val="4_db4"/>
      <sheetName val="Статьи_расхода3"/>
      <sheetName val="Fixed_ADRs3"/>
      <sheetName val="Euro_Fixed3"/>
      <sheetName val="Комментарии_к_запросу3"/>
      <sheetName val="К_трафик4"/>
      <sheetName val="ИСХ_ИНФ4"/>
      <sheetName val="остатки_ОН_на_01_12_20153"/>
      <sheetName val="Спецодежда_СИЗ3"/>
      <sheetName val="Перечень_Спецодежды,_СИЗ3"/>
      <sheetName val="Перечень_договоров3"/>
      <sheetName val="Исх_ЗУ3"/>
      <sheetName val="К3_Инфл3"/>
      <sheetName val="Оп__Дом3"/>
      <sheetName val="Оп__Кварт3"/>
      <sheetName val="Аналог_13"/>
      <sheetName val="Аналог_23"/>
      <sheetName val="Аналог_33"/>
      <sheetName val="Аналог_43"/>
      <sheetName val="Свод_аналоги3"/>
      <sheetName val="1_13"/>
      <sheetName val="Справочники_ОПУ3"/>
      <sheetName val="Структура_парка_20163"/>
      <sheetName val="дисконт_стр-во3"/>
      <sheetName val="3_4_Инвестиции1"/>
      <sheetName val="Свод_окт_20191"/>
      <sheetName val="по_Проектам1"/>
      <sheetName val="Новый_справочник_статей1"/>
      <sheetName val="СА_12_03_20_1"/>
      <sheetName val="Справочник_статей1"/>
      <sheetName val="материал_стен1"/>
      <sheetName val="5ЛП_1"/>
      <sheetName val="CAMPAIGN_AVERAGE_F"/>
      <sheetName val="Отчетность_(Радиоволна)"/>
      <sheetName val="5_СПРАВОЧНИКИ"/>
      <sheetName val="Подразделения__МВЗ"/>
      <sheetName val="WACC_-_Europe_(by_M__Shinder)"/>
      <sheetName val="Анализ_расх_"/>
      <sheetName val="C_1_СF_КП_свод"/>
      <sheetName val="summar_of_bkbuilding"/>
      <sheetName val="charts_to_pull_from"/>
      <sheetName val="Top_orders"/>
      <sheetName val="price_sensitivity"/>
      <sheetName val="float_nums"/>
      <sheetName val="Subfed_SpB"/>
      <sheetName val="прогноз_янв"/>
      <sheetName val="Booked_Exposure"/>
      <sheetName val="__Goal_Metadata"/>
      <sheetName val="Входные данные"/>
      <sheetName val="ОО"/>
      <sheetName val="Согласование"/>
      <sheetName val="Исходные данные"/>
      <sheetName val="спр-к"/>
      <sheetName val="lists"/>
      <sheetName val="Demand"/>
      <sheetName val="Plan_acc"/>
      <sheetName val="CST-CAPEX"/>
      <sheetName val="DELINS"/>
      <sheetName val="Costs Savings"/>
      <sheetName val="Natl_Consult_Reg_16"/>
      <sheetName val="Natl_Consult_Reg_17"/>
      <sheetName val="NASE_Oil-Revenue8"/>
      <sheetName val="business_plan8"/>
      <sheetName val="Предположения_КАС8"/>
      <sheetName val="кор_на_местоп8"/>
      <sheetName val="Общ_свед8"/>
      <sheetName val="ФМ_Приморский__2_очередь3"/>
      <sheetName val="ФМ_Приморский__3_оч(1к)3"/>
      <sheetName val="Статьи_ЦФО3"/>
      <sheetName val="Приложение_2_16_13"/>
      <sheetName val="1_1_План_счетов3"/>
      <sheetName val="Статьи_ДДС3"/>
      <sheetName val="Laminat(OEM)ship_(Price)3"/>
      <sheetName val="SUIVI_EFFECTIFS3"/>
      <sheetName val="EFFECT_3"/>
      <sheetName val="CAB_19983"/>
      <sheetName val="Vendas_Tons3"/>
      <sheetName val="C_Estr_3"/>
      <sheetName val="Базовая_ОРС_офис3"/>
      <sheetName val="тип_данных3"/>
      <sheetName val="Справочник_3"/>
      <sheetName val="1_1_Inputs3"/>
      <sheetName val=""/>
      <sheetName val="saisie point de chute travaux"/>
      <sheetName val="DEPRECIATION SCHEDULE"/>
      <sheetName val="LOADDAT"/>
      <sheetName val="General input tot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1">
          <cell r="D61">
            <v>0</v>
          </cell>
        </row>
      </sheetData>
      <sheetData sheetId="42">
        <row r="61">
          <cell r="D61">
            <v>0</v>
          </cell>
        </row>
      </sheetData>
      <sheetData sheetId="43">
        <row r="61">
          <cell r="D61">
            <v>0</v>
          </cell>
        </row>
      </sheetData>
      <sheetData sheetId="44">
        <row r="61">
          <cell r="D61">
            <v>0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61">
          <cell r="D61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61">
          <cell r="D61">
            <v>0</v>
          </cell>
        </row>
      </sheetData>
      <sheetData sheetId="125">
        <row r="61">
          <cell r="D61">
            <v>0</v>
          </cell>
        </row>
      </sheetData>
      <sheetData sheetId="126">
        <row r="61">
          <cell r="D61">
            <v>0</v>
          </cell>
        </row>
      </sheetData>
      <sheetData sheetId="127">
        <row r="61">
          <cell r="D61">
            <v>0</v>
          </cell>
        </row>
      </sheetData>
      <sheetData sheetId="128">
        <row r="61">
          <cell r="D61">
            <v>0</v>
          </cell>
        </row>
      </sheetData>
      <sheetData sheetId="129">
        <row r="61">
          <cell r="D61">
            <v>0</v>
          </cell>
        </row>
      </sheetData>
      <sheetData sheetId="130">
        <row r="61">
          <cell r="D61">
            <v>0</v>
          </cell>
        </row>
      </sheetData>
      <sheetData sheetId="131">
        <row r="61">
          <cell r="D61">
            <v>0</v>
          </cell>
        </row>
      </sheetData>
      <sheetData sheetId="132">
        <row r="61">
          <cell r="D61">
            <v>0</v>
          </cell>
        </row>
      </sheetData>
      <sheetData sheetId="133">
        <row r="61">
          <cell r="D61">
            <v>0</v>
          </cell>
        </row>
      </sheetData>
      <sheetData sheetId="134">
        <row r="61">
          <cell r="D61">
            <v>0</v>
          </cell>
        </row>
      </sheetData>
      <sheetData sheetId="135">
        <row r="61">
          <cell r="D61">
            <v>0</v>
          </cell>
        </row>
      </sheetData>
      <sheetData sheetId="136">
        <row r="61">
          <cell r="D61">
            <v>0</v>
          </cell>
        </row>
      </sheetData>
      <sheetData sheetId="137">
        <row r="61">
          <cell r="D61">
            <v>0</v>
          </cell>
        </row>
      </sheetData>
      <sheetData sheetId="138">
        <row r="61">
          <cell r="D61">
            <v>0</v>
          </cell>
        </row>
      </sheetData>
      <sheetData sheetId="139">
        <row r="61">
          <cell r="D61">
            <v>0</v>
          </cell>
        </row>
      </sheetData>
      <sheetData sheetId="140">
        <row r="61">
          <cell r="D61">
            <v>0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61">
          <cell r="D61">
            <v>0</v>
          </cell>
        </row>
      </sheetData>
      <sheetData sheetId="257">
        <row r="61">
          <cell r="D61">
            <v>0</v>
          </cell>
        </row>
      </sheetData>
      <sheetData sheetId="258">
        <row r="61">
          <cell r="D61">
            <v>0</v>
          </cell>
        </row>
      </sheetData>
      <sheetData sheetId="259">
        <row r="61">
          <cell r="D61">
            <v>0</v>
          </cell>
        </row>
      </sheetData>
      <sheetData sheetId="260">
        <row r="61">
          <cell r="D61">
            <v>0</v>
          </cell>
        </row>
      </sheetData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>
        <row r="61">
          <cell r="D61">
            <v>0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>
        <row r="61">
          <cell r="D61">
            <v>0</v>
          </cell>
        </row>
      </sheetData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>
        <row r="61">
          <cell r="D61">
            <v>0</v>
          </cell>
        </row>
      </sheetData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>
        <row r="61">
          <cell r="D61">
            <v>0</v>
          </cell>
        </row>
      </sheetData>
      <sheetData sheetId="412">
        <row r="61">
          <cell r="D61">
            <v>0</v>
          </cell>
        </row>
      </sheetData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Свод-1"/>
    </sheetNames>
    <sheetDataSet>
      <sheetData sheetId="0" refreshError="1"/>
      <sheetData sheetId="1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._стр-ва"/>
    </sheetNames>
    <sheetDataSet>
      <sheetData sheetId="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  <sheetName val="Огл. Графиков"/>
      <sheetName val="рабочий"/>
      <sheetName val="Текущие цены"/>
      <sheetName val="сценарии"/>
      <sheetName val="ВГР активы"/>
      <sheetName val="XLR_NoRangeSheet"/>
      <sheetName val="проверка_07"/>
      <sheetName val="БД_платежи"/>
      <sheetName val="Классификатор_затрат"/>
      <sheetName val="БД_поступления"/>
      <sheetName val="Классификатор_доходов"/>
      <sheetName val="_daily_2003"/>
      <sheetName val="ЛИСТ_1_бюджет_2003"/>
      <sheetName val="ЛИСТ_2_затраты_2003"/>
      <sheetName val="ЛИСТ_3_инвест_2003"/>
      <sheetName val="Form_CF"/>
      <sheetName val="Form_Budget"/>
      <sheetName val="Form_CF_decads"/>
      <sheetName val="Бюджет_доходов"/>
      <sheetName val="Бюджет_расходов"/>
      <sheetName val="Кл-р_SysTel"/>
      <sheetName val="проверка_06"/>
      <sheetName val="Кл_р_SysTel"/>
      <sheetName val="Общая_информация"/>
      <sheetName val="Курс_$"/>
      <sheetName val="Budget_Корнет"/>
      <sheetName val="BS_RAS"/>
      <sheetName val="6m-2003_факт_без_бартера"/>
      <sheetName val="проверка_071"/>
      <sheetName val="БД_платежи1"/>
      <sheetName val="Классификатор_затрат1"/>
      <sheetName val="БД_поступления1"/>
      <sheetName val="Классификатор_доходов1"/>
      <sheetName val="_daily_20031"/>
      <sheetName val="ЛИСТ_1_бюджет_20031"/>
      <sheetName val="ЛИСТ_2_затраты_20031"/>
      <sheetName val="ЛИСТ_3_инвест_20031"/>
      <sheetName val="Form_CF1"/>
      <sheetName val="Form_Budget1"/>
      <sheetName val="Form_CF_decads1"/>
      <sheetName val="Бюджет_доходов1"/>
      <sheetName val="Бюджет_расходов1"/>
      <sheetName val="Кл-р_SysTel1"/>
      <sheetName val="проверка_061"/>
      <sheetName val="Кл_р_SysTel1"/>
      <sheetName val="Общая_информация1"/>
      <sheetName val="Курс_$1"/>
      <sheetName val="Budget_Корнет1"/>
      <sheetName val="BS_RAS1"/>
      <sheetName val="6m-2003_факт_без_бартера1"/>
      <sheetName val="проверка_072"/>
      <sheetName val="БД_платежи2"/>
      <sheetName val="Классификатор_затрат2"/>
      <sheetName val="БД_поступления2"/>
      <sheetName val="Классификатор_доходов2"/>
      <sheetName val="_daily_20032"/>
      <sheetName val="ЛИСТ_1_бюджет_20032"/>
      <sheetName val="ЛИСТ_2_затраты_20032"/>
      <sheetName val="ЛИСТ_3_инвест_20032"/>
      <sheetName val="Form_CF2"/>
      <sheetName val="Form_Budget2"/>
      <sheetName val="Form_CF_decads2"/>
      <sheetName val="Бюджет_доходов2"/>
      <sheetName val="Бюджет_расходов2"/>
      <sheetName val="Кл-р_SysTel2"/>
      <sheetName val="проверка_062"/>
      <sheetName val="Кл_р_SysTel2"/>
      <sheetName val="Общая_информация2"/>
      <sheetName val="Курс_$2"/>
      <sheetName val="Budget_Корнет2"/>
      <sheetName val="BS_RAS2"/>
      <sheetName val="6m-2003_факт_без_бартер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танты"/>
    </sheetNames>
    <sheetDataSet>
      <sheetData sheetId="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DATA"/>
      <sheetName val="TRAFFIC CALC"/>
      <sheetName val="TRAFFIC PAR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</sheetNames>
    <sheetDataSet>
      <sheetData sheetId="0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ажи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5"/>
      <sheetName val="Ф6"/>
      <sheetName val="Ф2"/>
      <sheetName val="Ф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ЛССМУ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-итог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са-казань-декабрь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+"/>
      <sheetName val="ВводД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тБ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Backup of BUDJ_02_00"/>
    </sheetNames>
    <definedNames>
      <definedName name="GetSANDValue"/>
      <definedName name="GetVal"/>
      <definedName name="PutHeader" sheetId="0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октябрь)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Доходный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 доходов"/>
      <sheetName val="расш_ББ_1"/>
      <sheetName val="расш расходов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КР"/>
      <sheetName val="Отгрузка"/>
      <sheetName val="MACRO"/>
      <sheetName val="Поступления"/>
      <sheetName val="Хран сах "/>
      <sheetName val="Льгов"/>
      <sheetName val="Инвест.план к БДДС"/>
      <sheetName val="Фин. вложения"/>
      <sheetName val="Хотмыжск"/>
      <sheetName val="#ССЫЛКА"/>
      <sheetName val="d_pok"/>
      <sheetName val="за месяц"/>
      <sheetName val="Кред. задолж."/>
      <sheetName val="платежи"/>
      <sheetName val="Изменения"/>
      <sheetName val="титул"/>
      <sheetName val="СКР"/>
      <sheetName val="2 деньги в пути"/>
      <sheetName val="1.14"/>
      <sheetName val="Прочий товар"/>
      <sheetName val=" БДДС"/>
      <sheetName val="б"/>
      <sheetName val="Balance Sheet"/>
      <sheetName val="1.10"/>
      <sheetName val="Баланс-новый"/>
      <sheetName val="Гр фин"/>
      <sheetName val="PL (2)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  <sheetName val="OFFER SUMMARY (USD)"/>
      <sheetName val="RC-BALTIKA Butce Formu"/>
      <sheetName val="KAPAK"/>
      <sheetName val="Data Input"/>
      <sheetName val="Лист1"/>
      <sheetName val="summary_endirek"/>
      <sheetName val="План_поступлений7"/>
      <sheetName val="Отчет о реализации площадей"/>
      <sheetName val="U-factors - calc"/>
      <sheetName val="data"/>
      <sheetName val="Новая презентация"/>
      <sheetName val="share price 2002"/>
      <sheetName val="ADAMSAAT MAL."/>
      <sheetName val="kalite hedefleri -tablo icin"/>
      <sheetName val="Data Sheet"/>
      <sheetName val="Tables"/>
      <sheetName val="Adam-saat Kod"/>
      <sheetName val="fitoutconfcentre"/>
      <sheetName val="Personnel"/>
      <sheetName val="Beton Maliyet Analizi"/>
    </sheetNames>
    <sheetDataSet>
      <sheetData sheetId="0">
        <row r="10">
          <cell r="B10">
            <v>40</v>
          </cell>
        </row>
      </sheetData>
      <sheetData sheetId="1">
        <row r="3">
          <cell r="C3">
            <v>100604.08</v>
          </cell>
        </row>
      </sheetData>
      <sheetData sheetId="2">
        <row r="10">
          <cell r="B10">
            <v>40</v>
          </cell>
        </row>
      </sheetData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>
        <row r="3">
          <cell r="C3">
            <v>100604.08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>
        <row r="3">
          <cell r="C3">
            <v>100604.08</v>
          </cell>
        </row>
      </sheetData>
      <sheetData sheetId="91">
        <row r="3">
          <cell r="C3">
            <v>100604.08</v>
          </cell>
        </row>
      </sheetData>
      <sheetData sheetId="92">
        <row r="3">
          <cell r="C3">
            <v>100604.08</v>
          </cell>
        </row>
      </sheetData>
      <sheetData sheetId="93"/>
      <sheetData sheetId="94">
        <row r="3">
          <cell r="C3">
            <v>100604.08</v>
          </cell>
        </row>
      </sheetData>
      <sheetData sheetId="95">
        <row r="3">
          <cell r="C3">
            <v>100604.08</v>
          </cell>
        </row>
      </sheetData>
      <sheetData sheetId="96">
        <row r="3">
          <cell r="C3">
            <v>100604.08</v>
          </cell>
        </row>
      </sheetData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>
        <row r="3">
          <cell r="C3">
            <v>100604.08</v>
          </cell>
        </row>
      </sheetData>
      <sheetData sheetId="116">
        <row r="3">
          <cell r="C3">
            <v>100604.08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 refreshError="1"/>
      <sheetData sheetId="137" refreshError="1"/>
      <sheetData sheetId="138" refreshError="1"/>
      <sheetData sheetId="139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/>
      <sheetData sheetId="15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"/>
      <sheetName val="Sum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рын"/>
      <sheetName val="изно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КУРС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н.ит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нос"/>
      <sheetName val="восст"/>
    </sheet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общие сведения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общие сведения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кад,5"/>
      <sheetName val="бог"/>
      <sheetName val="мфтц,к.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-итог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Метод остатка"/>
    </sheetNames>
    <sheetDataSet>
      <sheetData sheetId="0" refreshError="1"/>
      <sheetData sheetId="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овые курсы валют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ын счит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списки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</sheetNames>
    <sheetDataSet>
      <sheetData sheetId="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шины и оборудование"/>
      <sheetName val="Здан-затр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Ик"/>
      <sheetName val="график01.09.02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естицииСвод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ужебный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"/>
      <sheetName val="АБ"/>
    </sheetNames>
    <sheetDataSet>
      <sheetData sheetId="0" refreshError="1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OILBAL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торн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"/>
    </sheet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  <sheetName val="AFISHA.RU"/>
      <sheetName val="AMEDIA.RU"/>
      <sheetName val="AUTO.RU"/>
      <sheetName val="3DNEWS.RU"/>
      <sheetName val="##"/>
      <sheetName val="ECHO.MSK.RU"/>
      <sheetName val="EXPERT.RU"/>
      <sheetName val="FASHIONTIME.RU"/>
      <sheetName val="GAZETA.RU"/>
      <sheetName val="INOPRESSA.RU"/>
      <sheetName val="KOMMERSANT.RU"/>
      <sheetName val="LIVEINTERNET.RU"/>
      <sheetName val="MAIL.RU"/>
      <sheetName val="MTV.RU"/>
      <sheetName val="NEWSRU.COM"/>
      <sheetName val="24OPEN.RU"/>
      <sheetName val="RIAN.RU"/>
      <sheetName val="SPORTS.RU"/>
      <sheetName val="Ставка"/>
      <sheetName val="Key Data"/>
      <sheetName val="аналитика"/>
      <sheetName val="U-210.1 Выручка "/>
      <sheetName val="Group_Comparative_GAAP5"/>
      <sheetName val="Group_Comparative_IAS5"/>
      <sheetName val="R-U_IAS_History5"/>
      <sheetName val="Cash_Flow_Working5"/>
      <sheetName val="TB_GAAP5"/>
      <sheetName val="TB_IAS5"/>
      <sheetName val="Income_Statement5"/>
      <sheetName val="Balance_Sheet5"/>
      <sheetName val="Cash_Flow5"/>
      <sheetName val="G-I-F_Total5"/>
      <sheetName val="G-I-F_(RU)5"/>
      <sheetName val="G-I-F_(UA)5"/>
      <sheetName val="FLash_IAS5"/>
      <sheetName val="Cash_Flow_support5"/>
      <sheetName val="Income_Statement_Russia_and_Uk5"/>
      <sheetName val="Class_A_Shares_Outstanding5"/>
      <sheetName val="Class_B_Shares_Outstanding5"/>
      <sheetName val="Dilutive_Shares_Outstanding5"/>
      <sheetName val="EPS_Working5"/>
      <sheetName val="Share_Price_20025"/>
      <sheetName val="RE_Working5"/>
      <sheetName val="Change_of_Equity5"/>
      <sheetName val="Cover___Parameters1"/>
      <sheetName val="БДДС_month_(ф)3"/>
      <sheetName val="БДДС_month_(п)3"/>
      <sheetName val="GAAP_&amp;_IAS_Group_TB_&amp;_Reports_5"/>
      <sheetName val="КВ_20083"/>
      <sheetName val="ф_123"/>
      <sheetName val="коэф_5"/>
      <sheetName val="Cover_&amp;_Parameters5"/>
      <sheetName val="2_Параметры3"/>
      <sheetName val="Справочник_предприятий3"/>
      <sheetName val="Справочник_статей_бюджета3"/>
      <sheetName val="Проверочная_вкладка3"/>
      <sheetName val="Проверочная_вкладка_для_PL3"/>
      <sheetName val="Blédina_cumul3"/>
      <sheetName val="Сценарные_условия3"/>
      <sheetName val="Ав_(закупка,_услуги)"/>
      <sheetName val="БДДС_год"/>
      <sheetName val="13,40_Авансы_получ"/>
      <sheetName val="Произв_пок_раст_3_"/>
      <sheetName val="Сдача_произведен__прод_"/>
      <sheetName val="Tesisat_Ekibi_CG"/>
      <sheetName val="Finansal_tamamlanma_Eğrisi"/>
      <sheetName val="Offsets_&amp;_Other_Costs"/>
      <sheetName val="Adam-Saat_Hesabi"/>
      <sheetName val="Concrete_Sheet"/>
      <sheetName val="таблица_по_договорам2"/>
      <sheetName val="Именованные_списки"/>
      <sheetName val="44_итого"/>
      <sheetName val="Структура_2015"/>
      <sheetName val="Списки_техники"/>
      <sheetName val="_Цена_акции_2002"/>
      <sheetName val="Link"/>
      <sheetName val="выручка по клиентам и ДЗ"/>
      <sheetName val="PL 2020"/>
      <sheetName val="исх 2018-2019"/>
      <sheetName val="Отчёт по Пм 20"/>
      <sheetName val="для бюджет предопта"/>
      <sheetName val="затраты факт 9 мес предопт"/>
      <sheetName val="затраты УК"/>
      <sheetName val="Инстукция по заполнению"/>
      <sheetName val="Лист1 (3)"/>
      <sheetName val="0 версия"/>
      <sheetName val="ПФ-март"/>
      <sheetName val="Общие"/>
      <sheetName val="0"/>
      <sheetName val="Кр.прод.-Приб."/>
      <sheetName val="Кр.порт"/>
      <sheetName val="Упр-рын."/>
      <sheetName val="Недв-Инв"/>
      <sheetName val="Деб-Кред"/>
      <sheetName val="АГРЕГприб"/>
      <sheetName val="АГРЕГбал"/>
      <sheetName val="Обор-Реал"/>
      <sheetName val="Курсы пересчета"/>
      <sheetName val="Протокол расчета"/>
      <sheetName val="Исключения"/>
      <sheetName val="91 счет - P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  <sheetName val="Лист1"/>
      <sheetName val="budget  material"/>
      <sheetName val="Sheet2"/>
      <sheetName val="AÇIKLAMALAR"/>
      <sheetName val="KABLO A.T.K."/>
      <sheetName val="ŞALTERLER"/>
      <sheetName val="Sum"/>
      <sheetName val="График_затрат_1_оч_7"/>
      <sheetName val="График_затрат_2_оч_7"/>
      <sheetName val="План_продаж7"/>
      <sheetName val="Модель_продаж7"/>
      <sheetName val="Сводная_ЛССМУ3"/>
      <sheetName val="beton maliyet analizi"/>
      <sheetName val="RATES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 refreshError="1"/>
      <sheetData sheetId="16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  <sheetName val="sheet1"/>
      <sheetName val="lob"/>
      <sheetName val="AOP Summary-2"/>
      <sheetName val="ANA PIVOT"/>
      <sheetName val="Parite"/>
      <sheetName val="RC-BALTIKA Butce Formu"/>
      <sheetName val="график_затрат3"/>
      <sheetName val="План_продаж3"/>
      <sheetName val="Оплата_по_графикам3"/>
      <sheetName val="мфтц,к_43"/>
      <sheetName val="tesİsat"/>
      <sheetName val="mech. summary"/>
      <sheetName val="Calculation"/>
      <sheetName val="DATA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/>
      <sheetData sheetId="83"/>
      <sheetData sheetId="8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  <sheetName val="10"/>
      <sheetName val="5"/>
      <sheetName val="14"/>
      <sheetName val="Tender Summary"/>
      <sheetName val="#ref"/>
      <sheetName val="data"/>
      <sheetName val="Mayis 06 Ambar Raporu"/>
      <sheetName val="05 06 Maliyet"/>
      <sheetName val="График_затрат3"/>
      <sheetName val="План_продаж3"/>
      <sheetName val="оплата_по_графикам3"/>
      <sheetName val="inputs"/>
      <sheetName val="electric mechanic"/>
      <sheetName val="comps"/>
      <sheetName val="Indirect-Sum"/>
      <sheetName val="b25 (m350) beton maliyet analiz"/>
      <sheetName val="Data Sheet"/>
      <sheetName val="Direct Budget"/>
      <sheetName val="summary_endirek"/>
      <sheetName val="Новая презентация"/>
      <sheetName val="betonarme"/>
      <sheetName val="mech-4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данные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Предпр.-взвеш. оценка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фундам Н.4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нос"/>
      <sheetName val="Описание"/>
    </sheetNames>
    <sheetDataSet>
      <sheetData sheetId="0" refreshError="1"/>
      <sheetData sheetId="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1"/>
  <sheetViews>
    <sheetView showGridLines="0" zoomScaleNormal="100" workbookViewId="0">
      <selection activeCell="C24" sqref="C24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1" t="s">
        <v>12</v>
      </c>
    </row>
    <row r="6" spans="2:8" ht="15.75" x14ac:dyDescent="0.25">
      <c r="H6" s="52" t="s">
        <v>5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3" t="s">
        <v>13</v>
      </c>
      <c r="C11" s="38"/>
      <c r="D11" s="38"/>
      <c r="E11" s="38"/>
      <c r="F11" s="38"/>
      <c r="G11" s="38"/>
      <c r="H11" s="38"/>
    </row>
    <row r="12" spans="2:8" ht="20.25" x14ac:dyDescent="0.25">
      <c r="B12" s="54" t="s">
        <v>6</v>
      </c>
      <c r="C12" s="38"/>
      <c r="D12" s="38"/>
      <c r="F12" s="38"/>
      <c r="G12" s="38"/>
    </row>
    <row r="13" spans="2:8" ht="23.25" x14ac:dyDescent="0.35">
      <c r="B13" s="58" t="s">
        <v>14</v>
      </c>
      <c r="C13" s="115" t="s">
        <v>7</v>
      </c>
      <c r="E13" s="55"/>
      <c r="F13" s="38"/>
    </row>
    <row r="14" spans="2:8" x14ac:dyDescent="0.25">
      <c r="C14" s="38"/>
    </row>
    <row r="15" spans="2:8" ht="23.25" x14ac:dyDescent="0.35">
      <c r="B15" s="58" t="s">
        <v>15</v>
      </c>
      <c r="C15" s="38"/>
    </row>
    <row r="16" spans="2:8" x14ac:dyDescent="0.25">
      <c r="B16" s="56" t="s">
        <v>16</v>
      </c>
      <c r="C16" s="115" t="s">
        <v>7</v>
      </c>
    </row>
    <row r="17" spans="2:8" x14ac:dyDescent="0.25">
      <c r="B17" s="56" t="s">
        <v>17</v>
      </c>
      <c r="C17" s="115" t="s">
        <v>7</v>
      </c>
    </row>
    <row r="18" spans="2:8" x14ac:dyDescent="0.25">
      <c r="B18" s="56" t="s">
        <v>298</v>
      </c>
      <c r="C18" s="115" t="s">
        <v>7</v>
      </c>
      <c r="F18" s="38"/>
      <c r="H18" s="38"/>
    </row>
    <row r="19" spans="2:8" x14ac:dyDescent="0.25">
      <c r="B19" s="56" t="s">
        <v>18</v>
      </c>
      <c r="C19" s="115" t="s">
        <v>7</v>
      </c>
      <c r="F19" s="38"/>
      <c r="H19" s="38"/>
    </row>
    <row r="20" spans="2:8" x14ac:dyDescent="0.25"/>
    <row r="21" spans="2:8" ht="23.25" x14ac:dyDescent="0.35">
      <c r="B21" s="58" t="s">
        <v>19</v>
      </c>
    </row>
    <row r="22" spans="2:8" x14ac:dyDescent="0.25">
      <c r="B22" s="56" t="s">
        <v>21</v>
      </c>
      <c r="C22" s="115" t="s">
        <v>7</v>
      </c>
    </row>
    <row r="23" spans="2:8" x14ac:dyDescent="0.25">
      <c r="B23" s="56" t="s">
        <v>20</v>
      </c>
      <c r="C23" s="115" t="s">
        <v>7</v>
      </c>
    </row>
    <row r="24" spans="2:8" x14ac:dyDescent="0.25">
      <c r="B24" s="56" t="s">
        <v>22</v>
      </c>
      <c r="C24" s="115" t="s">
        <v>7</v>
      </c>
    </row>
    <row r="25" spans="2:8" ht="18" x14ac:dyDescent="0.25">
      <c r="H25" s="57"/>
    </row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</sheetData>
  <hyperlinks>
    <hyperlink ref="H6" r:id="rId1" xr:uid="{57C94E8A-03F1-4585-82FB-F47F9830677E}"/>
    <hyperlink ref="C16" location="'Операционные результаты'!A1" tooltip="wffee" display="&gt;&gt;" xr:uid="{3B585DCE-E6F0-4D6C-8968-48FA9A6D7EBD}"/>
    <hyperlink ref="C18" location="'Assets valuation 2023'!A1" tooltip="wffee" display="&gt;&gt;" xr:uid="{F4995EFF-802A-4FAE-9EC7-58E9BAA6C6CE}"/>
    <hyperlink ref="C19" location="ОФР!A47" tooltip="wffee" display="&gt;&gt;" xr:uid="{62FD9178-B516-43E6-AEAF-467C0A1EB7B5}"/>
    <hyperlink ref="C22" location="'Балансовый отчет'!A1" tooltip="wffee" display="&gt;&gt;" xr:uid="{BD7DB65C-166A-498D-B077-5D36F2DF03D9}"/>
    <hyperlink ref="C23" location="ОФР!A1" tooltip="wffee" display="&gt;&gt;" xr:uid="{C7CF6286-43BF-4447-B310-5F05B2C367B3}"/>
    <hyperlink ref="C24" location="ОДДС!A1" tooltip="wffee" display="&gt;&gt;" xr:uid="{835BAC53-06CC-441C-B94C-0D2799090942}"/>
    <hyperlink ref="C13" location="Обзор!A1" tooltip="wffee" display="&gt;&gt;" xr:uid="{A7F47DA2-FE6F-41CB-9FC6-CAED0BFDB594}"/>
    <hyperlink ref="C18" location="'Оценка активов 2024'!A1" tooltip="wffee" display="&gt;&gt;" xr:uid="{835EE55F-AD7E-473C-9378-5737336DE5FD}"/>
    <hyperlink ref="C17" location="'Операционные результаты'!A21" display="&gt;&gt;" xr:uid="{14D00513-EBC5-4EE8-8B0C-CC7B4FCDDB12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R51"/>
  <sheetViews>
    <sheetView showGridLines="0" tabSelected="1" zoomScale="110" zoomScaleNormal="110" workbookViewId="0">
      <pane xSplit="1" topLeftCell="N1" activePane="topRight" state="frozen"/>
      <selection pane="topRight" activeCell="U48" sqref="U48"/>
    </sheetView>
  </sheetViews>
  <sheetFormatPr defaultColWidth="9.140625" defaultRowHeight="14.25" x14ac:dyDescent="0.2"/>
  <cols>
    <col min="1" max="1" width="66.42578125" style="38" customWidth="1"/>
    <col min="2" max="2" width="12" style="5" customWidth="1"/>
    <col min="3" max="15" width="9.140625" style="5"/>
    <col min="16" max="16384" width="9.140625" style="38"/>
  </cols>
  <sheetData>
    <row r="1" spans="1:18" x14ac:dyDescent="0.2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8" ht="18" x14ac:dyDescent="0.25">
      <c r="A2" s="1" t="s">
        <v>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8" ht="15" x14ac:dyDescent="0.25">
      <c r="A3" s="112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8" x14ac:dyDescent="0.2">
      <c r="A4" s="66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8" x14ac:dyDescent="0.2">
      <c r="A5" s="2"/>
      <c r="B5" s="103"/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2016</v>
      </c>
      <c r="I5" s="3">
        <v>2017</v>
      </c>
      <c r="J5" s="3">
        <v>2018</v>
      </c>
      <c r="K5" s="3">
        <v>2019</v>
      </c>
      <c r="L5" s="3">
        <v>2020</v>
      </c>
      <c r="M5" s="3">
        <v>2021</v>
      </c>
      <c r="N5" s="3">
        <v>2022</v>
      </c>
      <c r="O5" s="3">
        <v>2023</v>
      </c>
      <c r="P5" s="3">
        <v>2024</v>
      </c>
      <c r="Q5" s="3">
        <v>2025</v>
      </c>
    </row>
    <row r="6" spans="1:18" x14ac:dyDescent="0.2">
      <c r="A6" s="4" t="s">
        <v>287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5"/>
      <c r="Q6" s="5"/>
    </row>
    <row r="7" spans="1:18" x14ac:dyDescent="0.2">
      <c r="A7" s="5" t="s">
        <v>24</v>
      </c>
      <c r="B7" s="6" t="s">
        <v>34</v>
      </c>
      <c r="C7" s="7">
        <f>ОФР!B9</f>
        <v>22741</v>
      </c>
      <c r="D7" s="7">
        <f>ОФР!C9</f>
        <v>26894</v>
      </c>
      <c r="E7" s="7">
        <f>ОФР!D9</f>
        <v>39921</v>
      </c>
      <c r="F7" s="7">
        <f>ОФР!E9</f>
        <v>51481</v>
      </c>
      <c r="G7" s="7">
        <f>ОФР!F9</f>
        <v>42404</v>
      </c>
      <c r="H7" s="7">
        <f>ОФР!G9</f>
        <v>49022</v>
      </c>
      <c r="I7" s="7">
        <f>ОФР!H9</f>
        <v>70645</v>
      </c>
      <c r="J7" s="7">
        <f>ОФР!I9</f>
        <v>72327</v>
      </c>
      <c r="K7" s="7">
        <f>ОФР!J9</f>
        <v>84330</v>
      </c>
      <c r="L7" s="7">
        <f>ОФР!K9</f>
        <v>78655</v>
      </c>
      <c r="M7" s="7">
        <f>ОФР!L9</f>
        <v>87138</v>
      </c>
      <c r="N7" s="7">
        <v>80556</v>
      </c>
      <c r="O7" s="7">
        <f>90652</f>
        <v>90652</v>
      </c>
      <c r="P7" s="7">
        <f>130946</f>
        <v>130946</v>
      </c>
      <c r="Q7" s="7">
        <f>153627</f>
        <v>153627</v>
      </c>
    </row>
    <row r="8" spans="1:18" x14ac:dyDescent="0.2">
      <c r="A8" s="8" t="s">
        <v>319</v>
      </c>
      <c r="B8" s="6" t="s">
        <v>34</v>
      </c>
      <c r="C8" s="7">
        <v>10853</v>
      </c>
      <c r="D8" s="7">
        <v>9400</v>
      </c>
      <c r="E8" s="7">
        <v>12368</v>
      </c>
      <c r="F8" s="7">
        <v>15796</v>
      </c>
      <c r="G8" s="7">
        <v>12999</v>
      </c>
      <c r="H8" s="7">
        <v>12209</v>
      </c>
      <c r="I8" s="7">
        <v>18001</v>
      </c>
      <c r="J8" s="7">
        <v>17055</v>
      </c>
      <c r="K8" s="7">
        <v>22735</v>
      </c>
      <c r="L8" s="7">
        <v>25796</v>
      </c>
      <c r="M8" s="67">
        <v>31041</v>
      </c>
      <c r="N8" s="67">
        <v>30514</v>
      </c>
      <c r="O8" s="67">
        <f>31261</f>
        <v>31261</v>
      </c>
      <c r="P8" s="67">
        <f>42425</f>
        <v>42425</v>
      </c>
      <c r="Q8" s="67">
        <f>Q9+1416</f>
        <v>42815</v>
      </c>
      <c r="R8" s="126"/>
    </row>
    <row r="9" spans="1:18" x14ac:dyDescent="0.2">
      <c r="A9" s="8" t="s">
        <v>321</v>
      </c>
      <c r="B9" s="6" t="s">
        <v>34</v>
      </c>
      <c r="C9" s="7">
        <f>ОФР!B17</f>
        <v>10853</v>
      </c>
      <c r="D9" s="7">
        <f>ОФР!C17</f>
        <v>9400</v>
      </c>
      <c r="E9" s="7">
        <f>ОФР!D17</f>
        <v>12368</v>
      </c>
      <c r="F9" s="7">
        <f>ОФР!E17</f>
        <v>15796</v>
      </c>
      <c r="G9" s="7">
        <f>ОФР!F17</f>
        <v>12999</v>
      </c>
      <c r="H9" s="7">
        <f>ОФР!G17</f>
        <v>12209</v>
      </c>
      <c r="I9" s="7">
        <f>ОФР!H17</f>
        <v>18001</v>
      </c>
      <c r="J9" s="7">
        <f>ОФР!I17</f>
        <v>17055</v>
      </c>
      <c r="K9" s="7">
        <f>ОФР!J17</f>
        <v>20057</v>
      </c>
      <c r="L9" s="7">
        <f>ОФР!K17</f>
        <v>21915</v>
      </c>
      <c r="M9" s="7">
        <f>ОФР!L17</f>
        <v>27782</v>
      </c>
      <c r="N9" s="7">
        <v>28203</v>
      </c>
      <c r="O9" s="7">
        <v>29971</v>
      </c>
      <c r="P9" s="7">
        <f>41378</f>
        <v>41378</v>
      </c>
      <c r="Q9" s="7">
        <f>41399</f>
        <v>41399</v>
      </c>
      <c r="R9" s="126"/>
    </row>
    <row r="10" spans="1:18" x14ac:dyDescent="0.2">
      <c r="A10" s="8" t="s">
        <v>322</v>
      </c>
      <c r="B10" s="6" t="s">
        <v>34</v>
      </c>
      <c r="C10" s="7">
        <v>8201</v>
      </c>
      <c r="D10" s="7">
        <v>6931</v>
      </c>
      <c r="E10" s="7">
        <v>9430</v>
      </c>
      <c r="F10" s="7">
        <v>10611</v>
      </c>
      <c r="G10" s="7">
        <v>7675</v>
      </c>
      <c r="H10" s="7">
        <v>7301</v>
      </c>
      <c r="I10" s="7">
        <v>14823</v>
      </c>
      <c r="J10" s="7">
        <v>6118</v>
      </c>
      <c r="K10" s="7">
        <v>11175</v>
      </c>
      <c r="L10" s="7">
        <v>16482</v>
      </c>
      <c r="M10" s="5">
        <f>ОФР!L60</f>
        <v>21139</v>
      </c>
      <c r="N10" s="61">
        <v>18795</v>
      </c>
      <c r="O10" s="61">
        <v>19425</v>
      </c>
      <c r="P10" s="61">
        <f>28693</f>
        <v>28693</v>
      </c>
      <c r="Q10" s="61">
        <f>29777</f>
        <v>29777</v>
      </c>
    </row>
    <row r="11" spans="1:18" x14ac:dyDescent="0.2">
      <c r="A11" s="8" t="s">
        <v>323</v>
      </c>
      <c r="B11" s="6" t="s">
        <v>34</v>
      </c>
      <c r="C11" s="7">
        <v>8201</v>
      </c>
      <c r="D11" s="7">
        <v>6931</v>
      </c>
      <c r="E11" s="7">
        <v>9430</v>
      </c>
      <c r="F11" s="7">
        <v>10611</v>
      </c>
      <c r="G11" s="7">
        <v>7675</v>
      </c>
      <c r="H11" s="7">
        <v>7301</v>
      </c>
      <c r="I11" s="7">
        <v>14823</v>
      </c>
      <c r="J11" s="7">
        <v>6118</v>
      </c>
      <c r="K11" s="7">
        <v>8497</v>
      </c>
      <c r="L11" s="7">
        <v>12601</v>
      </c>
      <c r="M11" s="5">
        <f>ОФР!L58</f>
        <v>17880</v>
      </c>
      <c r="N11" s="61">
        <v>16484</v>
      </c>
      <c r="O11" s="61">
        <v>18135</v>
      </c>
      <c r="P11" s="61">
        <f>27646</f>
        <v>27646</v>
      </c>
      <c r="Q11" s="61">
        <f>28361</f>
        <v>28361</v>
      </c>
    </row>
    <row r="12" spans="1:18" x14ac:dyDescent="0.2">
      <c r="A12" s="5" t="s">
        <v>26</v>
      </c>
      <c r="B12" s="6" t="s">
        <v>34</v>
      </c>
      <c r="C12" s="7">
        <f>ОФР!B35</f>
        <v>7440</v>
      </c>
      <c r="D12" s="7">
        <f>ОФР!C35</f>
        <v>5000</v>
      </c>
      <c r="E12" s="7">
        <f>ОФР!D35</f>
        <v>6664</v>
      </c>
      <c r="F12" s="7">
        <f>ОФР!E35</f>
        <v>8369</v>
      </c>
      <c r="G12" s="7">
        <f>ОФР!F35</f>
        <v>5429</v>
      </c>
      <c r="H12" s="7">
        <f>ОФР!G35</f>
        <v>4902</v>
      </c>
      <c r="I12" s="7">
        <f>ОФР!H35</f>
        <v>7893</v>
      </c>
      <c r="J12" s="7">
        <f>ОФР!I35</f>
        <v>-700</v>
      </c>
      <c r="K12" s="7">
        <f>ОФР!J35</f>
        <v>186</v>
      </c>
      <c r="L12" s="7">
        <f>ОФР!K35</f>
        <v>2036</v>
      </c>
      <c r="M12" s="7">
        <f>ОФР!L35</f>
        <v>3007</v>
      </c>
      <c r="N12" s="7">
        <v>13001</v>
      </c>
      <c r="O12" s="7">
        <v>-3370</v>
      </c>
      <c r="P12" s="7">
        <f>-6914</f>
        <v>-6914</v>
      </c>
      <c r="Q12" s="7">
        <f>-22336</f>
        <v>-22336</v>
      </c>
    </row>
    <row r="13" spans="1:18" x14ac:dyDescent="0.2">
      <c r="A13" s="8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P13" s="5"/>
      <c r="Q13" s="5"/>
    </row>
    <row r="14" spans="1:18" x14ac:dyDescent="0.2">
      <c r="A14" s="4" t="s">
        <v>27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P14" s="5"/>
      <c r="Q14" s="5"/>
    </row>
    <row r="15" spans="1:18" x14ac:dyDescent="0.2">
      <c r="A15" s="8" t="s">
        <v>28</v>
      </c>
      <c r="B15" s="6" t="s">
        <v>34</v>
      </c>
      <c r="C15" s="7">
        <v>10406</v>
      </c>
      <c r="D15" s="7">
        <v>16636</v>
      </c>
      <c r="E15" s="7">
        <v>13219</v>
      </c>
      <c r="F15" s="7">
        <v>16291</v>
      </c>
      <c r="G15" s="7">
        <v>19414</v>
      </c>
      <c r="H15" s="7">
        <v>18054</v>
      </c>
      <c r="I15" s="7">
        <v>23987</v>
      </c>
      <c r="J15" s="7">
        <v>20912</v>
      </c>
      <c r="K15" s="7">
        <v>52692</v>
      </c>
      <c r="L15" s="7">
        <v>50505</v>
      </c>
      <c r="M15" s="7">
        <v>83438</v>
      </c>
      <c r="N15" s="7">
        <v>93088</v>
      </c>
      <c r="O15" s="7">
        <v>118611</v>
      </c>
      <c r="P15" s="7">
        <f>176593</f>
        <v>176593</v>
      </c>
      <c r="Q15" s="7">
        <f>136898+85593</f>
        <v>222491</v>
      </c>
    </row>
    <row r="16" spans="1:18" x14ac:dyDescent="0.2">
      <c r="A16" s="8" t="s">
        <v>29</v>
      </c>
      <c r="B16" s="6" t="s">
        <v>34</v>
      </c>
      <c r="C16" s="7">
        <v>10406</v>
      </c>
      <c r="D16" s="7">
        <v>16636</v>
      </c>
      <c r="E16" s="7">
        <v>13219</v>
      </c>
      <c r="F16" s="7">
        <v>16291</v>
      </c>
      <c r="G16" s="7">
        <v>19414</v>
      </c>
      <c r="H16" s="7">
        <v>18054</v>
      </c>
      <c r="I16" s="7">
        <v>23987</v>
      </c>
      <c r="J16" s="7">
        <v>20912</v>
      </c>
      <c r="K16" s="7">
        <v>52692</v>
      </c>
      <c r="L16" s="7">
        <v>45510</v>
      </c>
      <c r="M16" s="7">
        <v>47210</v>
      </c>
      <c r="N16" s="7">
        <v>38326</v>
      </c>
      <c r="O16" s="7">
        <f>O15-O17</f>
        <v>46763</v>
      </c>
      <c r="P16" s="7">
        <f>73467</f>
        <v>73467</v>
      </c>
      <c r="Q16" s="7">
        <f>Q15-Q17</f>
        <v>88769</v>
      </c>
    </row>
    <row r="17" spans="1:17" x14ac:dyDescent="0.2">
      <c r="A17" s="8" t="s">
        <v>30</v>
      </c>
      <c r="B17" s="6" t="s">
        <v>34</v>
      </c>
      <c r="C17" s="7"/>
      <c r="D17" s="7"/>
      <c r="E17" s="7"/>
      <c r="F17" s="7"/>
      <c r="G17" s="7"/>
      <c r="H17" s="7"/>
      <c r="I17" s="7"/>
      <c r="J17" s="7"/>
      <c r="K17" s="7"/>
      <c r="L17" s="7">
        <v>4995</v>
      </c>
      <c r="M17" s="7">
        <v>36228</v>
      </c>
      <c r="N17" s="7">
        <v>54762</v>
      </c>
      <c r="O17" s="7">
        <v>71848</v>
      </c>
      <c r="P17" s="7">
        <f>70174+32952</f>
        <v>103126</v>
      </c>
      <c r="Q17" s="7">
        <f>70648+63074</f>
        <v>133722</v>
      </c>
    </row>
    <row r="18" spans="1:17" x14ac:dyDescent="0.2">
      <c r="A18" s="8" t="s">
        <v>320</v>
      </c>
      <c r="B18" s="6" t="s">
        <v>34</v>
      </c>
      <c r="C18" s="7">
        <v>15768</v>
      </c>
      <c r="D18" s="7">
        <v>17526</v>
      </c>
      <c r="E18" s="7">
        <v>13037</v>
      </c>
      <c r="F18" s="7">
        <v>15655</v>
      </c>
      <c r="G18" s="7">
        <v>12017</v>
      </c>
      <c r="H18" s="7">
        <v>10206</v>
      </c>
      <c r="I18" s="7">
        <v>14278</v>
      </c>
      <c r="J18" s="7">
        <v>23066</v>
      </c>
      <c r="K18" s="7">
        <v>31128</v>
      </c>
      <c r="L18" s="7">
        <v>25930</v>
      </c>
      <c r="M18" s="7">
        <v>44629</v>
      </c>
      <c r="N18" s="7">
        <v>23811</v>
      </c>
      <c r="O18" s="7">
        <v>9724</v>
      </c>
      <c r="P18" s="7">
        <f>4320</f>
        <v>4320</v>
      </c>
      <c r="Q18" s="7">
        <f>4889</f>
        <v>4889</v>
      </c>
    </row>
    <row r="19" spans="1:17" x14ac:dyDescent="0.2">
      <c r="A19" s="8" t="s">
        <v>31</v>
      </c>
      <c r="B19" s="6" t="s">
        <v>34</v>
      </c>
      <c r="C19" s="7"/>
      <c r="D19" s="7"/>
      <c r="E19" s="7"/>
      <c r="F19" s="7"/>
      <c r="G19" s="7"/>
      <c r="H19" s="7"/>
      <c r="I19" s="7"/>
      <c r="J19" s="7"/>
      <c r="K19" s="7">
        <v>692</v>
      </c>
      <c r="L19" s="7">
        <v>23572</v>
      </c>
      <c r="M19" s="7">
        <v>59752</v>
      </c>
      <c r="N19" s="7">
        <v>60362</v>
      </c>
      <c r="O19" s="7">
        <v>77440</v>
      </c>
      <c r="P19" s="7">
        <f>112289</f>
        <v>112289</v>
      </c>
      <c r="Q19" s="7">
        <f>104298</f>
        <v>104298</v>
      </c>
    </row>
    <row r="20" spans="1:17" x14ac:dyDescent="0.2">
      <c r="A20" s="8" t="s">
        <v>32</v>
      </c>
      <c r="B20" s="6" t="s">
        <v>34</v>
      </c>
      <c r="C20" s="7">
        <v>-5362</v>
      </c>
      <c r="D20" s="7">
        <v>-890</v>
      </c>
      <c r="E20" s="7">
        <v>182</v>
      </c>
      <c r="F20" s="7">
        <v>636</v>
      </c>
      <c r="G20" s="7">
        <v>7397</v>
      </c>
      <c r="H20" s="7">
        <v>7848</v>
      </c>
      <c r="I20" s="7">
        <v>9709</v>
      </c>
      <c r="J20" s="7">
        <v>-2154</v>
      </c>
      <c r="K20" s="7">
        <v>21484</v>
      </c>
      <c r="L20" s="7">
        <v>19580</v>
      </c>
      <c r="M20" s="7">
        <v>2581</v>
      </c>
      <c r="N20" s="7">
        <v>14515</v>
      </c>
      <c r="O20" s="7">
        <v>37039</v>
      </c>
      <c r="P20" s="7">
        <f>69147</f>
        <v>69147</v>
      </c>
      <c r="Q20" s="7">
        <f>83880</f>
        <v>83880</v>
      </c>
    </row>
    <row r="21" spans="1:17" x14ac:dyDescent="0.2">
      <c r="A21" s="8" t="s">
        <v>33</v>
      </c>
      <c r="B21" s="6" t="s">
        <v>1</v>
      </c>
      <c r="C21" s="9"/>
      <c r="D21" s="9"/>
      <c r="E21" s="9">
        <v>0.02</v>
      </c>
      <c r="F21" s="9">
        <v>0.06</v>
      </c>
      <c r="G21" s="9">
        <v>0.96</v>
      </c>
      <c r="H21" s="9">
        <v>1.07</v>
      </c>
      <c r="I21" s="9">
        <v>0.65</v>
      </c>
      <c r="J21" s="11">
        <v>-0.35207584177835888</v>
      </c>
      <c r="K21" s="9">
        <v>1.81</v>
      </c>
      <c r="L21" s="9">
        <v>1.1879626258949161</v>
      </c>
      <c r="M21" s="68">
        <v>0.12209659870381759</v>
      </c>
      <c r="N21" s="68">
        <v>0.77</v>
      </c>
      <c r="O21" s="68">
        <v>1.9067696267696268</v>
      </c>
      <c r="P21" s="68">
        <f>2.41</f>
        <v>2.41</v>
      </c>
      <c r="Q21" s="68">
        <f>Q20/Q10</f>
        <v>2.8169392484132048</v>
      </c>
    </row>
    <row r="22" spans="1:17" x14ac:dyDescent="0.2">
      <c r="A22" s="8"/>
      <c r="B22" s="6"/>
      <c r="C22" s="9"/>
      <c r="D22" s="9"/>
      <c r="E22" s="9"/>
      <c r="F22" s="9"/>
      <c r="G22" s="9"/>
      <c r="H22" s="9"/>
      <c r="I22" s="9"/>
      <c r="J22" s="11"/>
      <c r="K22" s="9"/>
      <c r="L22" s="9"/>
      <c r="P22" s="5"/>
      <c r="Q22" s="5"/>
    </row>
    <row r="23" spans="1:17" x14ac:dyDescent="0.2">
      <c r="A23" s="4" t="s">
        <v>36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P23" s="5"/>
      <c r="Q23" s="5"/>
    </row>
    <row r="24" spans="1:17" x14ac:dyDescent="0.2">
      <c r="A24" s="8" t="s">
        <v>295</v>
      </c>
      <c r="B24" s="6" t="s">
        <v>34</v>
      </c>
      <c r="C24" s="7">
        <v>-2775</v>
      </c>
      <c r="D24" s="7">
        <v>-3027</v>
      </c>
      <c r="E24" s="7">
        <v>678</v>
      </c>
      <c r="F24" s="7">
        <v>2099</v>
      </c>
      <c r="G24" s="7">
        <v>-3297</v>
      </c>
      <c r="H24" s="7">
        <v>4040</v>
      </c>
      <c r="I24" s="7">
        <v>2681</v>
      </c>
      <c r="J24" s="7">
        <v>17403</v>
      </c>
      <c r="K24" s="7">
        <v>13336</v>
      </c>
      <c r="L24" s="7">
        <v>3906</v>
      </c>
      <c r="M24" s="7">
        <v>-17342</v>
      </c>
      <c r="N24" s="7">
        <v>-45552</v>
      </c>
      <c r="O24" s="7">
        <v>-40516</v>
      </c>
      <c r="P24" s="7">
        <f>-79020</f>
        <v>-79020</v>
      </c>
      <c r="Q24" s="7">
        <f>-81732+17061</f>
        <v>-64671</v>
      </c>
    </row>
    <row r="25" spans="1:17" x14ac:dyDescent="0.2">
      <c r="A25" s="8" t="s">
        <v>37</v>
      </c>
      <c r="B25" s="6" t="s">
        <v>34</v>
      </c>
      <c r="C25" s="7"/>
      <c r="D25" s="7"/>
      <c r="E25" s="7"/>
      <c r="F25" s="7"/>
      <c r="G25" s="7"/>
      <c r="H25" s="7"/>
      <c r="I25" s="7"/>
      <c r="J25" s="7"/>
      <c r="K25" s="7">
        <v>14028</v>
      </c>
      <c r="L25" s="7">
        <v>26786</v>
      </c>
      <c r="M25" s="7">
        <v>18838</v>
      </c>
      <c r="N25" s="7">
        <f>N24+N28+N29</f>
        <v>-17780</v>
      </c>
      <c r="O25" s="7">
        <f>O24+O28+O29</f>
        <v>-5435</v>
      </c>
      <c r="P25" s="7">
        <f>-23793</f>
        <v>-23793</v>
      </c>
      <c r="Q25" s="7">
        <f>Q24+Q28+Q29</f>
        <v>-22346</v>
      </c>
    </row>
    <row r="26" spans="1:17" x14ac:dyDescent="0.2">
      <c r="A26" s="8" t="s">
        <v>38</v>
      </c>
      <c r="B26" s="6" t="s">
        <v>34</v>
      </c>
      <c r="C26" s="7">
        <v>-4482</v>
      </c>
      <c r="D26" s="7">
        <v>-4897</v>
      </c>
      <c r="E26" s="7">
        <v>-1462</v>
      </c>
      <c r="F26" s="7">
        <v>-76</v>
      </c>
      <c r="G26" s="7">
        <v>-5994</v>
      </c>
      <c r="H26" s="7">
        <v>819</v>
      </c>
      <c r="I26" s="7">
        <v>243</v>
      </c>
      <c r="J26" s="7">
        <v>14672</v>
      </c>
      <c r="K26" s="7">
        <v>-16624</v>
      </c>
      <c r="L26" s="7">
        <v>-588</v>
      </c>
      <c r="M26" s="7">
        <v>-21623</v>
      </c>
      <c r="N26" s="7">
        <v>-51705</v>
      </c>
      <c r="O26" s="7">
        <v>-57270</v>
      </c>
      <c r="P26" s="7">
        <f>-95015</f>
        <v>-95015</v>
      </c>
      <c r="Q26" s="7">
        <f>-81578</f>
        <v>-81578</v>
      </c>
    </row>
    <row r="27" spans="1:17" x14ac:dyDescent="0.2">
      <c r="A27" s="8" t="s">
        <v>39</v>
      </c>
      <c r="B27" s="6" t="s">
        <v>34</v>
      </c>
      <c r="C27" s="7"/>
      <c r="D27" s="7"/>
      <c r="E27" s="7"/>
      <c r="F27" s="7"/>
      <c r="G27" s="7"/>
      <c r="H27" s="7"/>
      <c r="I27" s="7"/>
      <c r="J27" s="7"/>
      <c r="K27" s="7">
        <v>-15932</v>
      </c>
      <c r="L27" s="7">
        <v>22292</v>
      </c>
      <c r="M27" s="7">
        <v>14557</v>
      </c>
      <c r="N27" s="7">
        <f>N26+N28+N29</f>
        <v>-23933</v>
      </c>
      <c r="O27" s="7">
        <f>O26+O28+O29</f>
        <v>-22189</v>
      </c>
      <c r="P27" s="7">
        <f>-39788</f>
        <v>-39788</v>
      </c>
      <c r="Q27" s="7">
        <f>Q26+Q28+Q29</f>
        <v>-39253</v>
      </c>
    </row>
    <row r="28" spans="1:17" x14ac:dyDescent="0.2">
      <c r="A28" s="8" t="s">
        <v>40</v>
      </c>
      <c r="B28" s="6" t="s">
        <v>34</v>
      </c>
      <c r="C28" s="7"/>
      <c r="D28" s="7"/>
      <c r="E28" s="7"/>
      <c r="F28" s="7"/>
      <c r="G28" s="7"/>
      <c r="H28" s="7"/>
      <c r="I28" s="7"/>
      <c r="J28" s="7"/>
      <c r="K28" s="7">
        <v>692</v>
      </c>
      <c r="L28" s="7">
        <v>22880</v>
      </c>
      <c r="M28" s="7">
        <v>36180</v>
      </c>
      <c r="N28" s="7">
        <v>610</v>
      </c>
      <c r="O28" s="7">
        <v>17078</v>
      </c>
      <c r="P28" s="7">
        <f>34849</f>
        <v>34849</v>
      </c>
      <c r="Q28" s="7">
        <f>60003-67994</f>
        <v>-7991</v>
      </c>
    </row>
    <row r="29" spans="1:17" x14ac:dyDescent="0.2">
      <c r="A29" s="111" t="s">
        <v>278</v>
      </c>
      <c r="B29" s="6" t="s">
        <v>34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27162</v>
      </c>
      <c r="O29" s="7">
        <v>18003</v>
      </c>
      <c r="P29" s="7">
        <f>20378</f>
        <v>20378</v>
      </c>
      <c r="Q29" s="7">
        <f>50316</f>
        <v>50316</v>
      </c>
    </row>
    <row r="30" spans="1:17" x14ac:dyDescent="0.2">
      <c r="A30" s="8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P30" s="5"/>
      <c r="Q30" s="5"/>
    </row>
    <row r="31" spans="1:17" x14ac:dyDescent="0.2">
      <c r="A31" s="4" t="s">
        <v>41</v>
      </c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P31" s="5"/>
      <c r="Q31" s="5"/>
    </row>
    <row r="32" spans="1:17" x14ac:dyDescent="0.2">
      <c r="A32" s="8" t="s">
        <v>57</v>
      </c>
      <c r="B32" s="6" t="s">
        <v>34</v>
      </c>
      <c r="C32" s="7">
        <v>18306</v>
      </c>
      <c r="D32" s="7">
        <v>23739</v>
      </c>
      <c r="E32" s="7">
        <v>30227</v>
      </c>
      <c r="F32" s="7">
        <v>39961.02476</v>
      </c>
      <c r="G32" s="7">
        <v>35079.970713895411</v>
      </c>
      <c r="H32" s="7">
        <v>47444</v>
      </c>
      <c r="I32" s="7">
        <v>50239.967601419994</v>
      </c>
      <c r="J32" s="7">
        <v>68731.252889259995</v>
      </c>
      <c r="K32" s="7">
        <v>77627.406625240008</v>
      </c>
      <c r="L32" s="7">
        <v>79922.186658060004</v>
      </c>
      <c r="M32" s="7">
        <f>'Операционные результаты'!M7</f>
        <v>84387.993910000005</v>
      </c>
      <c r="N32" s="7">
        <v>58652</v>
      </c>
      <c r="O32" s="7">
        <v>105564</v>
      </c>
      <c r="P32" s="7">
        <f>146241</f>
        <v>146241</v>
      </c>
      <c r="Q32" s="7">
        <v>153538</v>
      </c>
    </row>
    <row r="33" spans="1:17" x14ac:dyDescent="0.2">
      <c r="A33" s="8" t="s">
        <v>42</v>
      </c>
      <c r="B33" s="6" t="s">
        <v>34</v>
      </c>
      <c r="C33" s="7"/>
      <c r="D33" s="7"/>
      <c r="E33" s="7">
        <v>26073</v>
      </c>
      <c r="F33" s="7">
        <v>35335</v>
      </c>
      <c r="G33" s="7">
        <v>25845</v>
      </c>
      <c r="H33" s="7">
        <v>39723.422637700001</v>
      </c>
      <c r="I33" s="7">
        <v>46146.695167350001</v>
      </c>
      <c r="J33" s="7">
        <v>62785.436452919996</v>
      </c>
      <c r="K33" s="7">
        <v>77713.387916539999</v>
      </c>
      <c r="L33" s="7">
        <v>81985.030014120013</v>
      </c>
      <c r="M33" s="61">
        <f>'Операционные результаты'!M8</f>
        <v>84093.78253756999</v>
      </c>
      <c r="N33" s="7">
        <v>60386</v>
      </c>
      <c r="O33" s="7">
        <v>82108</v>
      </c>
      <c r="P33" s="7">
        <f>95575</f>
        <v>95575</v>
      </c>
      <c r="Q33" s="7">
        <v>100507</v>
      </c>
    </row>
    <row r="34" spans="1:17" x14ac:dyDescent="0.2">
      <c r="A34" s="8" t="s">
        <v>43</v>
      </c>
      <c r="B34" s="6" t="s">
        <v>35</v>
      </c>
      <c r="C34" s="7">
        <v>67797</v>
      </c>
      <c r="D34" s="7">
        <v>75013</v>
      </c>
      <c r="E34" s="7">
        <v>84889</v>
      </c>
      <c r="F34" s="7">
        <v>87431</v>
      </c>
      <c r="G34" s="7">
        <v>91057.20360523343</v>
      </c>
      <c r="H34" s="7">
        <v>95649.762108517301</v>
      </c>
      <c r="I34" s="7">
        <v>98094.123288225688</v>
      </c>
      <c r="J34" s="7">
        <v>109445.30457033213</v>
      </c>
      <c r="K34" s="7">
        <v>123140.09552653086</v>
      </c>
      <c r="L34" s="7">
        <v>148500.69067665632</v>
      </c>
      <c r="M34" s="7">
        <f>'Операционные результаты'!M9</f>
        <v>189008.00940000001</v>
      </c>
      <c r="N34" s="7">
        <v>200591</v>
      </c>
      <c r="O34" s="7">
        <v>192904</v>
      </c>
      <c r="P34" s="7">
        <v>208928</v>
      </c>
      <c r="Q34" s="7">
        <v>228672</v>
      </c>
    </row>
    <row r="35" spans="1:17" x14ac:dyDescent="0.2">
      <c r="A35" s="8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P35" s="5"/>
      <c r="Q35" s="5"/>
    </row>
    <row r="36" spans="1:17" x14ac:dyDescent="0.2">
      <c r="A36" s="12" t="s">
        <v>46</v>
      </c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P36" s="5"/>
      <c r="Q36" s="5"/>
    </row>
    <row r="37" spans="1:17" x14ac:dyDescent="0.2">
      <c r="A37" s="8" t="s">
        <v>44</v>
      </c>
      <c r="B37" s="6" t="s">
        <v>2</v>
      </c>
      <c r="C37" s="7">
        <v>4192</v>
      </c>
      <c r="D37" s="7">
        <v>5797</v>
      </c>
      <c r="E37" s="7">
        <v>6876</v>
      </c>
      <c r="F37" s="7">
        <v>9045</v>
      </c>
      <c r="G37" s="7">
        <v>7841</v>
      </c>
      <c r="H37" s="7">
        <v>9590</v>
      </c>
      <c r="I37" s="7">
        <v>9916</v>
      </c>
      <c r="J37" s="7">
        <v>12312</v>
      </c>
      <c r="K37" s="7">
        <v>12040</v>
      </c>
      <c r="L37" s="7">
        <v>9725</v>
      </c>
      <c r="M37" s="5">
        <f>'Операционные результаты'!M12</f>
        <v>8560</v>
      </c>
      <c r="N37" s="61">
        <v>6457</v>
      </c>
      <c r="O37" s="61">
        <v>11689</v>
      </c>
      <c r="P37" s="61">
        <f>14304</f>
        <v>14304</v>
      </c>
      <c r="Q37" s="61">
        <v>12509</v>
      </c>
    </row>
    <row r="38" spans="1:17" x14ac:dyDescent="0.2">
      <c r="A38" s="8" t="s">
        <v>45</v>
      </c>
      <c r="B38" s="6" t="s">
        <v>2</v>
      </c>
      <c r="C38" s="7"/>
      <c r="D38" s="7">
        <v>794</v>
      </c>
      <c r="E38" s="7">
        <v>1415</v>
      </c>
      <c r="F38" s="7">
        <v>2026</v>
      </c>
      <c r="G38" s="7">
        <v>1184</v>
      </c>
      <c r="H38" s="7">
        <v>2047</v>
      </c>
      <c r="I38" s="7">
        <v>3357</v>
      </c>
      <c r="J38" s="7">
        <v>5027</v>
      </c>
      <c r="K38" s="7">
        <v>4336</v>
      </c>
      <c r="L38" s="7">
        <v>4168</v>
      </c>
      <c r="M38" s="5">
        <f>'Операционные результаты'!M13</f>
        <v>3499</v>
      </c>
      <c r="N38" s="61">
        <v>2531</v>
      </c>
      <c r="O38" s="61">
        <v>5818</v>
      </c>
      <c r="P38" s="61">
        <f>4229</f>
        <v>4229</v>
      </c>
      <c r="Q38" s="61">
        <v>2613</v>
      </c>
    </row>
    <row r="39" spans="1:17" x14ac:dyDescent="0.2">
      <c r="A39" s="8" t="s">
        <v>47</v>
      </c>
      <c r="B39" s="6" t="s">
        <v>3</v>
      </c>
      <c r="C39" s="7"/>
      <c r="D39" s="7">
        <v>14</v>
      </c>
      <c r="E39" s="7">
        <v>21</v>
      </c>
      <c r="F39" s="7">
        <v>22</v>
      </c>
      <c r="G39" s="7">
        <v>15</v>
      </c>
      <c r="H39" s="7">
        <v>21</v>
      </c>
      <c r="I39" s="7">
        <v>34</v>
      </c>
      <c r="J39" s="7">
        <v>41</v>
      </c>
      <c r="K39" s="13">
        <v>36</v>
      </c>
      <c r="L39" s="13">
        <v>43</v>
      </c>
      <c r="M39" s="69">
        <f>'Операционные результаты'!M14</f>
        <v>40.876168224299064</v>
      </c>
      <c r="N39" s="69">
        <v>39</v>
      </c>
      <c r="O39" s="69">
        <v>50</v>
      </c>
      <c r="P39" s="69">
        <f>30</f>
        <v>30</v>
      </c>
      <c r="Q39" s="69">
        <v>21</v>
      </c>
    </row>
    <row r="40" spans="1:17" x14ac:dyDescent="0.2">
      <c r="A40" s="8"/>
      <c r="B40" s="6"/>
      <c r="C40" s="7"/>
      <c r="D40" s="7"/>
      <c r="E40" s="7"/>
      <c r="F40" s="7"/>
      <c r="G40" s="7"/>
      <c r="H40" s="7"/>
      <c r="I40" s="7"/>
      <c r="J40" s="7"/>
      <c r="K40" s="13"/>
      <c r="L40" s="13"/>
      <c r="P40" s="5"/>
      <c r="Q40" s="5"/>
    </row>
    <row r="41" spans="1:17" x14ac:dyDescent="0.2">
      <c r="A41" s="12" t="s">
        <v>48</v>
      </c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P41" s="5"/>
      <c r="Q41" s="5"/>
    </row>
    <row r="42" spans="1:17" x14ac:dyDescent="0.2">
      <c r="A42" s="8" t="s">
        <v>49</v>
      </c>
      <c r="B42" s="6" t="s">
        <v>51</v>
      </c>
      <c r="C42" s="7">
        <v>270012</v>
      </c>
      <c r="D42" s="7">
        <v>316466</v>
      </c>
      <c r="E42" s="7">
        <v>356075</v>
      </c>
      <c r="F42" s="7">
        <v>457055.99999999994</v>
      </c>
      <c r="G42" s="7">
        <v>385252.00999999983</v>
      </c>
      <c r="H42" s="7">
        <v>496008</v>
      </c>
      <c r="I42" s="7">
        <v>512160.82999999996</v>
      </c>
      <c r="J42" s="7">
        <v>627996.36000000057</v>
      </c>
      <c r="K42" s="7">
        <v>630399.10999999975</v>
      </c>
      <c r="L42" s="7">
        <v>538194.04</v>
      </c>
      <c r="M42" s="7">
        <f>'Операционные результаты'!M17</f>
        <v>446479.84000000008</v>
      </c>
      <c r="N42" s="7">
        <v>292396</v>
      </c>
      <c r="O42" s="7">
        <v>547235</v>
      </c>
      <c r="P42" s="7">
        <f>699107</f>
        <v>699107</v>
      </c>
      <c r="Q42" s="7">
        <v>671437</v>
      </c>
    </row>
    <row r="43" spans="1:17" x14ac:dyDescent="0.2">
      <c r="A43" s="8" t="s">
        <v>50</v>
      </c>
      <c r="B43" s="6" t="s">
        <v>51</v>
      </c>
      <c r="C43" s="7">
        <v>328435</v>
      </c>
      <c r="D43" s="7">
        <v>363120</v>
      </c>
      <c r="E43" s="7">
        <v>468248</v>
      </c>
      <c r="F43" s="7">
        <v>583483</v>
      </c>
      <c r="G43" s="7">
        <v>502203</v>
      </c>
      <c r="H43" s="7">
        <v>420325</v>
      </c>
      <c r="I43" s="7">
        <v>422946</v>
      </c>
      <c r="J43" s="7">
        <v>479339</v>
      </c>
      <c r="K43" s="7">
        <v>621866.93999999994</v>
      </c>
      <c r="L43" s="7">
        <v>540325.10000000009</v>
      </c>
      <c r="M43" s="7">
        <f>'Операционные результаты'!M18</f>
        <v>421209.4</v>
      </c>
      <c r="N43" s="7">
        <v>734773</v>
      </c>
      <c r="O43" s="7">
        <v>416726</v>
      </c>
      <c r="P43" s="7">
        <f>161232</f>
        <v>161232</v>
      </c>
      <c r="Q43" s="7">
        <v>483472</v>
      </c>
    </row>
    <row r="44" spans="1:17" x14ac:dyDescent="0.2">
      <c r="A44" s="8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P44" s="5"/>
      <c r="Q44" s="5"/>
    </row>
    <row r="45" spans="1:17" x14ac:dyDescent="0.2">
      <c r="A45" s="12" t="s">
        <v>52</v>
      </c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P45" s="5"/>
      <c r="Q45" s="5"/>
    </row>
    <row r="46" spans="1:17" x14ac:dyDescent="0.2">
      <c r="A46" s="8" t="s">
        <v>53</v>
      </c>
      <c r="B46" s="6" t="s">
        <v>34</v>
      </c>
      <c r="C46" s="13">
        <v>55185</v>
      </c>
      <c r="D46" s="13">
        <v>71934</v>
      </c>
      <c r="E46" s="13">
        <v>89252.554799999998</v>
      </c>
      <c r="F46" s="13">
        <v>104286</v>
      </c>
      <c r="G46" s="13">
        <v>104385</v>
      </c>
      <c r="H46" s="13">
        <v>115818.19999999998</v>
      </c>
      <c r="I46" s="13">
        <v>135196.66637727781</v>
      </c>
      <c r="J46" s="13">
        <v>186907.59125065611</v>
      </c>
      <c r="K46" s="13">
        <v>188499.00000200002</v>
      </c>
      <c r="L46" s="13">
        <v>203530.00000100001</v>
      </c>
      <c r="M46" s="13">
        <v>270046.00000100001</v>
      </c>
      <c r="N46" s="13">
        <v>288374</v>
      </c>
      <c r="O46" s="13">
        <v>302526</v>
      </c>
      <c r="P46" s="13">
        <f>304974</f>
        <v>304974</v>
      </c>
      <c r="Q46" s="13">
        <v>318124.47039999999</v>
      </c>
    </row>
    <row r="47" spans="1:17" x14ac:dyDescent="0.2">
      <c r="A47" s="8" t="s">
        <v>54</v>
      </c>
      <c r="B47" s="6" t="s">
        <v>34</v>
      </c>
      <c r="C47" s="13">
        <v>55185</v>
      </c>
      <c r="D47" s="13">
        <v>71934</v>
      </c>
      <c r="E47" s="13">
        <v>89252.554799999998</v>
      </c>
      <c r="F47" s="13">
        <v>104286</v>
      </c>
      <c r="G47" s="13">
        <v>104384</v>
      </c>
      <c r="H47" s="13">
        <v>115818.19999999998</v>
      </c>
      <c r="I47" s="13">
        <v>126924.99810065069</v>
      </c>
      <c r="J47" s="13">
        <v>176924.55421948357</v>
      </c>
      <c r="K47" s="13">
        <v>176053.00000200002</v>
      </c>
      <c r="L47" s="13">
        <v>190890.00000100001</v>
      </c>
      <c r="M47" s="13">
        <v>255761.00000100001</v>
      </c>
      <c r="N47" s="13">
        <v>272064</v>
      </c>
      <c r="O47" s="13">
        <v>285984</v>
      </c>
      <c r="P47" s="13">
        <f>284288</f>
        <v>284288</v>
      </c>
      <c r="Q47" s="13">
        <v>295545.47039999999</v>
      </c>
    </row>
    <row r="48" spans="1:17" x14ac:dyDescent="0.2">
      <c r="A48" s="14" t="s">
        <v>55</v>
      </c>
      <c r="B48" s="15" t="s">
        <v>56</v>
      </c>
      <c r="C48" s="16">
        <v>3245</v>
      </c>
      <c r="D48" s="16">
        <v>3575</v>
      </c>
      <c r="E48" s="16">
        <v>3442.2999999999997</v>
      </c>
      <c r="F48" s="16">
        <v>3114.3</v>
      </c>
      <c r="G48" s="16">
        <v>2718.8999999999996</v>
      </c>
      <c r="H48" s="16">
        <v>2818.2229412474217</v>
      </c>
      <c r="I48" s="16">
        <v>2818.40783054234</v>
      </c>
      <c r="J48" s="16">
        <v>3357.3835013648318</v>
      </c>
      <c r="K48" s="16">
        <v>3327.5928982373121</v>
      </c>
      <c r="L48" s="16">
        <v>2840.3881505620302</v>
      </c>
      <c r="M48" s="16">
        <f>6002970.75150467/1000</f>
        <v>6002.9707515046703</v>
      </c>
      <c r="N48" s="16">
        <v>6412</v>
      </c>
      <c r="O48" s="16">
        <v>5884</v>
      </c>
      <c r="P48" s="16">
        <f>5485</f>
        <v>5485</v>
      </c>
      <c r="Q48" s="16">
        <v>5464.8534132500008</v>
      </c>
    </row>
    <row r="49" spans="1:16" x14ac:dyDescent="0.2">
      <c r="A49" s="116"/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</row>
    <row r="50" spans="1:16" x14ac:dyDescent="0.2">
      <c r="A50" s="17" t="s">
        <v>318</v>
      </c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</row>
    <row r="51" spans="1:16" x14ac:dyDescent="0.2">
      <c r="A51" s="17" t="s">
        <v>317</v>
      </c>
      <c r="B51" s="9"/>
      <c r="C51" s="9"/>
      <c r="D51" s="9"/>
    </row>
  </sheetData>
  <hyperlinks>
    <hyperlink ref="A3" location="Содержание!A1" display="К содержанию" xr:uid="{EEB2A708-1D69-4047-9321-D7237D4BD53A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CA51"/>
  <sheetViews>
    <sheetView showGridLines="0" topLeftCell="A3" zoomScale="80" zoomScaleNormal="80" workbookViewId="0">
      <pane xSplit="1" topLeftCell="BN1" activePane="topRight" state="frozen"/>
      <selection pane="topRight" activeCell="BW12" sqref="BW12"/>
    </sheetView>
  </sheetViews>
  <sheetFormatPr defaultColWidth="9.140625" defaultRowHeight="14.25" outlineLevelCol="1" x14ac:dyDescent="0.2"/>
  <cols>
    <col min="1" max="1" width="70" style="38" customWidth="1"/>
    <col min="2" max="2" width="9.140625" style="5"/>
    <col min="3" max="17" width="9.42578125" style="5" customWidth="1"/>
    <col min="18" max="18" width="9.140625" style="5"/>
    <col min="19" max="71" width="9.140625" style="5" customWidth="1" outlineLevel="1"/>
    <col min="72" max="76" width="9.140625" style="38" customWidth="1" outlineLevel="1"/>
    <col min="77" max="79" width="9.85546875" style="38" bestFit="1" customWidth="1" outlineLevel="1"/>
    <col min="80" max="16384" width="9.140625" style="38"/>
  </cols>
  <sheetData>
    <row r="1" spans="1:79" x14ac:dyDescent="0.2">
      <c r="A1" s="65"/>
      <c r="B1" s="6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79" ht="18" x14ac:dyDescent="0.25">
      <c r="A2" s="51" t="s">
        <v>16</v>
      </c>
      <c r="B2" s="6"/>
      <c r="C2" s="9"/>
      <c r="D2" s="9"/>
      <c r="E2" s="9"/>
      <c r="F2" s="9"/>
      <c r="G2" s="9"/>
      <c r="H2" s="9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pans="1:79" ht="15" x14ac:dyDescent="0.25">
      <c r="A3" s="112" t="s">
        <v>23</v>
      </c>
      <c r="B3" s="6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79" x14ac:dyDescent="0.2">
      <c r="A4" s="8"/>
      <c r="B4" s="6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79" x14ac:dyDescent="0.2">
      <c r="A5" s="18"/>
      <c r="B5" s="103"/>
      <c r="C5" s="104">
        <v>2011</v>
      </c>
      <c r="D5" s="104">
        <v>2012</v>
      </c>
      <c r="E5" s="104">
        <v>2013</v>
      </c>
      <c r="F5" s="104">
        <v>2014</v>
      </c>
      <c r="G5" s="104">
        <v>2015</v>
      </c>
      <c r="H5" s="104">
        <v>2016</v>
      </c>
      <c r="I5" s="104">
        <v>2017</v>
      </c>
      <c r="J5" s="104">
        <v>2018</v>
      </c>
      <c r="K5" s="104">
        <v>2019</v>
      </c>
      <c r="L5" s="104">
        <v>2020</v>
      </c>
      <c r="M5" s="104">
        <v>2021</v>
      </c>
      <c r="N5" s="104">
        <v>2022</v>
      </c>
      <c r="O5" s="104">
        <v>2023</v>
      </c>
      <c r="P5" s="104">
        <v>2024</v>
      </c>
      <c r="Q5" s="104">
        <v>2025</v>
      </c>
      <c r="R5" s="105"/>
      <c r="S5" s="106" t="s">
        <v>58</v>
      </c>
      <c r="T5" s="106" t="s">
        <v>59</v>
      </c>
      <c r="U5" s="106" t="s">
        <v>60</v>
      </c>
      <c r="V5" s="106" t="s">
        <v>61</v>
      </c>
      <c r="W5" s="106" t="s">
        <v>62</v>
      </c>
      <c r="X5" s="106" t="s">
        <v>63</v>
      </c>
      <c r="Y5" s="106" t="s">
        <v>64</v>
      </c>
      <c r="Z5" s="106" t="s">
        <v>65</v>
      </c>
      <c r="AA5" s="106" t="s">
        <v>66</v>
      </c>
      <c r="AB5" s="106" t="s">
        <v>67</v>
      </c>
      <c r="AC5" s="106" t="s">
        <v>68</v>
      </c>
      <c r="AD5" s="106" t="s">
        <v>69</v>
      </c>
      <c r="AE5" s="106" t="s">
        <v>70</v>
      </c>
      <c r="AF5" s="106" t="s">
        <v>71</v>
      </c>
      <c r="AG5" s="106" t="s">
        <v>72</v>
      </c>
      <c r="AH5" s="106" t="s">
        <v>73</v>
      </c>
      <c r="AI5" s="106" t="s">
        <v>74</v>
      </c>
      <c r="AJ5" s="106" t="s">
        <v>75</v>
      </c>
      <c r="AK5" s="106" t="s">
        <v>76</v>
      </c>
      <c r="AL5" s="106" t="s">
        <v>77</v>
      </c>
      <c r="AM5" s="106" t="s">
        <v>78</v>
      </c>
      <c r="AN5" s="106" t="s">
        <v>79</v>
      </c>
      <c r="AO5" s="106" t="s">
        <v>80</v>
      </c>
      <c r="AP5" s="106" t="s">
        <v>81</v>
      </c>
      <c r="AQ5" s="106" t="s">
        <v>82</v>
      </c>
      <c r="AR5" s="106" t="s">
        <v>83</v>
      </c>
      <c r="AS5" s="106" t="s">
        <v>84</v>
      </c>
      <c r="AT5" s="106" t="s">
        <v>85</v>
      </c>
      <c r="AU5" s="106" t="s">
        <v>86</v>
      </c>
      <c r="AV5" s="106" t="s">
        <v>87</v>
      </c>
      <c r="AW5" s="106" t="s">
        <v>88</v>
      </c>
      <c r="AX5" s="106" t="s">
        <v>89</v>
      </c>
      <c r="AY5" s="106" t="s">
        <v>90</v>
      </c>
      <c r="AZ5" s="106" t="s">
        <v>91</v>
      </c>
      <c r="BA5" s="106" t="s">
        <v>92</v>
      </c>
      <c r="BB5" s="106" t="s">
        <v>93</v>
      </c>
      <c r="BC5" s="106" t="s">
        <v>94</v>
      </c>
      <c r="BD5" s="106" t="s">
        <v>95</v>
      </c>
      <c r="BE5" s="106" t="s">
        <v>96</v>
      </c>
      <c r="BF5" s="106" t="s">
        <v>97</v>
      </c>
      <c r="BG5" s="106" t="s">
        <v>98</v>
      </c>
      <c r="BH5" s="106" t="s">
        <v>99</v>
      </c>
      <c r="BI5" s="106" t="s">
        <v>100</v>
      </c>
      <c r="BJ5" s="106" t="s">
        <v>101</v>
      </c>
      <c r="BK5" s="106" t="s">
        <v>102</v>
      </c>
      <c r="BL5" s="106" t="s">
        <v>103</v>
      </c>
      <c r="BM5" s="106" t="s">
        <v>104</v>
      </c>
      <c r="BN5" s="106" t="s">
        <v>105</v>
      </c>
      <c r="BO5" s="106" t="s">
        <v>108</v>
      </c>
      <c r="BP5" s="106" t="s">
        <v>109</v>
      </c>
      <c r="BQ5" s="106" t="s">
        <v>110</v>
      </c>
      <c r="BR5" s="106" t="s">
        <v>106</v>
      </c>
      <c r="BS5" s="106" t="s">
        <v>107</v>
      </c>
      <c r="BT5" s="106" t="s">
        <v>277</v>
      </c>
      <c r="BU5" s="106" t="s">
        <v>285</v>
      </c>
      <c r="BV5" s="106" t="s">
        <v>286</v>
      </c>
      <c r="BW5" s="106" t="s">
        <v>297</v>
      </c>
      <c r="BX5" s="106" t="s">
        <v>299</v>
      </c>
      <c r="BY5" s="106" t="s">
        <v>309</v>
      </c>
      <c r="BZ5" s="106" t="s">
        <v>310</v>
      </c>
      <c r="CA5" s="106" t="s">
        <v>324</v>
      </c>
    </row>
    <row r="6" spans="1:79" x14ac:dyDescent="0.2">
      <c r="A6" s="4" t="s">
        <v>41</v>
      </c>
      <c r="B6" s="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8"/>
      <c r="BL6" s="8"/>
      <c r="BM6" s="8"/>
      <c r="BT6" s="5"/>
      <c r="BU6" s="5"/>
    </row>
    <row r="7" spans="1:79" x14ac:dyDescent="0.2">
      <c r="A7" s="8" t="s">
        <v>57</v>
      </c>
      <c r="B7" s="6" t="s">
        <v>34</v>
      </c>
      <c r="C7" s="20">
        <f>SUM(S7:V7)</f>
        <v>18306</v>
      </c>
      <c r="D7" s="20">
        <f>SUM(W7:Z7)</f>
        <v>23739</v>
      </c>
      <c r="E7" s="20">
        <f>SUM(AA7:AD7)</f>
        <v>30227</v>
      </c>
      <c r="F7" s="20">
        <f>SUM(AE7:AH7)</f>
        <v>39961.02476</v>
      </c>
      <c r="G7" s="20">
        <f>SUM(AI7:AL7)</f>
        <v>35079.970713895411</v>
      </c>
      <c r="H7" s="20">
        <f>SUM(AM7:AP7)</f>
        <v>47444</v>
      </c>
      <c r="I7" s="20">
        <f>SUM(AQ7:AT7)</f>
        <v>50239.967601419994</v>
      </c>
      <c r="J7" s="20">
        <f>SUM(AU7:AX7)</f>
        <v>68731.252889259995</v>
      </c>
      <c r="K7" s="20">
        <f>SUM(AY7:BB7)</f>
        <v>77627.406625240008</v>
      </c>
      <c r="L7" s="20">
        <f>SUM(BC7:BF7)</f>
        <v>79922.186658060004</v>
      </c>
      <c r="M7" s="20">
        <f>SUM(BG7:BJ7)</f>
        <v>84387.993910000005</v>
      </c>
      <c r="N7" s="20">
        <f>SUM(BK7:BN7)</f>
        <v>58652</v>
      </c>
      <c r="O7" s="20">
        <f>SUM(BO7:BR7)</f>
        <v>105563.58845944001</v>
      </c>
      <c r="P7" s="20">
        <f>SUM(BS7:BV7)</f>
        <v>146241</v>
      </c>
      <c r="Q7" s="20">
        <f>SUM(BW7:BZ7)</f>
        <v>153538.43844214</v>
      </c>
      <c r="R7" s="8"/>
      <c r="S7" s="20">
        <v>4158</v>
      </c>
      <c r="T7" s="20">
        <v>3781</v>
      </c>
      <c r="U7" s="20">
        <v>4336</v>
      </c>
      <c r="V7" s="20">
        <v>6031</v>
      </c>
      <c r="W7" s="20">
        <v>5566</v>
      </c>
      <c r="X7" s="20">
        <v>5195</v>
      </c>
      <c r="Y7" s="20">
        <v>5563</v>
      </c>
      <c r="Z7" s="20">
        <v>7415</v>
      </c>
      <c r="AA7" s="20">
        <v>5923</v>
      </c>
      <c r="AB7" s="20">
        <v>6746</v>
      </c>
      <c r="AC7" s="20">
        <v>8152</v>
      </c>
      <c r="AD7" s="20">
        <v>9406</v>
      </c>
      <c r="AE7" s="20">
        <v>9076.8653331200003</v>
      </c>
      <c r="AF7" s="20">
        <v>8095.1199196799998</v>
      </c>
      <c r="AG7" s="20">
        <v>9480.1498460799994</v>
      </c>
      <c r="AH7" s="20">
        <v>13308.88966112</v>
      </c>
      <c r="AI7" s="20">
        <v>3803.6569252554141</v>
      </c>
      <c r="AJ7" s="20">
        <v>4109.9257364599998</v>
      </c>
      <c r="AK7" s="20">
        <v>11392.218554999999</v>
      </c>
      <c r="AL7" s="20">
        <v>15774.169497179999</v>
      </c>
      <c r="AM7" s="20">
        <v>12860</v>
      </c>
      <c r="AN7" s="20">
        <v>10284</v>
      </c>
      <c r="AO7" s="20">
        <v>10575</v>
      </c>
      <c r="AP7" s="20">
        <v>13725</v>
      </c>
      <c r="AQ7" s="20">
        <v>10248.314041999998</v>
      </c>
      <c r="AR7" s="20">
        <v>11346.0364044</v>
      </c>
      <c r="AS7" s="20">
        <v>11969.5977286</v>
      </c>
      <c r="AT7" s="20">
        <v>16676.01942642</v>
      </c>
      <c r="AU7" s="20">
        <v>13605.154832299999</v>
      </c>
      <c r="AV7" s="20">
        <v>13881.61159593</v>
      </c>
      <c r="AW7" s="20">
        <v>16798.903380110001</v>
      </c>
      <c r="AX7" s="20">
        <v>24445.583080919998</v>
      </c>
      <c r="AY7" s="20">
        <v>19952.326535439999</v>
      </c>
      <c r="AZ7" s="20">
        <v>18782.154632410005</v>
      </c>
      <c r="BA7" s="20">
        <v>17098.350112380002</v>
      </c>
      <c r="BB7" s="20">
        <v>21794.575345010002</v>
      </c>
      <c r="BC7" s="20">
        <v>17936.319566999999</v>
      </c>
      <c r="BD7" s="20">
        <v>11585.362794000001</v>
      </c>
      <c r="BE7" s="20">
        <v>23982.568796</v>
      </c>
      <c r="BF7" s="20">
        <v>26417.935501060001</v>
      </c>
      <c r="BG7" s="19">
        <v>16214.395377000001</v>
      </c>
      <c r="BH7" s="19">
        <v>24932.598533</v>
      </c>
      <c r="BI7" s="19">
        <v>18390</v>
      </c>
      <c r="BJ7" s="19">
        <v>24851</v>
      </c>
      <c r="BK7" s="19">
        <v>19681</v>
      </c>
      <c r="BL7" s="19">
        <v>9638</v>
      </c>
      <c r="BM7" s="19">
        <v>13329</v>
      </c>
      <c r="BN7" s="19">
        <v>16004</v>
      </c>
      <c r="BO7" s="19">
        <v>13436.384795000002</v>
      </c>
      <c r="BP7" s="19">
        <v>20566.103885999997</v>
      </c>
      <c r="BQ7" s="19">
        <v>31169.099778440002</v>
      </c>
      <c r="BR7" s="62">
        <v>40392</v>
      </c>
      <c r="BS7" s="62">
        <v>40965</v>
      </c>
      <c r="BT7" s="62">
        <v>37627</v>
      </c>
      <c r="BU7" s="62">
        <f>36948</f>
        <v>36948</v>
      </c>
      <c r="BV7" s="62">
        <f>30701</f>
        <v>30701</v>
      </c>
      <c r="BW7" s="62">
        <v>37377.266451999996</v>
      </c>
      <c r="BX7" s="62">
        <v>24823.707968999999</v>
      </c>
      <c r="BY7" s="62">
        <v>46854.62423406</v>
      </c>
      <c r="BZ7" s="62">
        <v>44482.839787079996</v>
      </c>
      <c r="CA7" s="62">
        <f>24653</f>
        <v>24653</v>
      </c>
    </row>
    <row r="8" spans="1:79" x14ac:dyDescent="0.2">
      <c r="A8" s="8" t="s">
        <v>42</v>
      </c>
      <c r="B8" s="6" t="s">
        <v>34</v>
      </c>
      <c r="C8" s="20"/>
      <c r="D8" s="20"/>
      <c r="E8" s="20">
        <f>SUM(AA8:AD8)</f>
        <v>26073</v>
      </c>
      <c r="F8" s="20">
        <f>SUM(AE8:AH8)</f>
        <v>35335</v>
      </c>
      <c r="G8" s="20">
        <f>SUM(AI8:AL8)</f>
        <v>25845</v>
      </c>
      <c r="H8" s="20">
        <f>SUM(AM8:AP8)</f>
        <v>39723.422637700001</v>
      </c>
      <c r="I8" s="20">
        <f>SUM(AQ8:AT8)</f>
        <v>46146.695167350001</v>
      </c>
      <c r="J8" s="20">
        <f>SUM(AU8:AX8)</f>
        <v>62785.436452919996</v>
      </c>
      <c r="K8" s="20">
        <f>SUM(AY8:BB8)</f>
        <v>77713.387916539999</v>
      </c>
      <c r="L8" s="20">
        <f>SUM(BC8:BF8)</f>
        <v>81985.030014120013</v>
      </c>
      <c r="M8" s="20">
        <f>SUM(BG8:BJ8)</f>
        <v>84093.78253756999</v>
      </c>
      <c r="N8" s="20">
        <f t="shared" ref="N8:N18" si="0">SUM(BK8:BN8)</f>
        <v>60386</v>
      </c>
      <c r="O8" s="20">
        <f>SUM(BO8:BR8)</f>
        <v>82107.948539289995</v>
      </c>
      <c r="P8" s="20">
        <v>95575</v>
      </c>
      <c r="Q8" s="20">
        <f>100507</f>
        <v>100507</v>
      </c>
      <c r="R8" s="8"/>
      <c r="S8" s="20"/>
      <c r="T8" s="20"/>
      <c r="U8" s="20"/>
      <c r="V8" s="20"/>
      <c r="W8" s="20"/>
      <c r="X8" s="20"/>
      <c r="Y8" s="20"/>
      <c r="Z8" s="20"/>
      <c r="AA8" s="20">
        <v>5237</v>
      </c>
      <c r="AB8" s="20">
        <v>5703</v>
      </c>
      <c r="AC8" s="20">
        <v>6769</v>
      </c>
      <c r="AD8" s="20">
        <v>8364</v>
      </c>
      <c r="AE8" s="20">
        <v>9088</v>
      </c>
      <c r="AF8" s="20">
        <v>5747</v>
      </c>
      <c r="AG8" s="20">
        <v>9012</v>
      </c>
      <c r="AH8" s="20">
        <v>11488</v>
      </c>
      <c r="AI8" s="20">
        <v>6003</v>
      </c>
      <c r="AJ8" s="20">
        <v>4412</v>
      </c>
      <c r="AK8" s="20">
        <v>5798</v>
      </c>
      <c r="AL8" s="20">
        <v>9632</v>
      </c>
      <c r="AM8" s="20">
        <v>10570.772917070002</v>
      </c>
      <c r="AN8" s="20">
        <v>9286</v>
      </c>
      <c r="AO8" s="20">
        <v>8743.8683072799995</v>
      </c>
      <c r="AP8" s="20">
        <v>11122.78141335</v>
      </c>
      <c r="AQ8" s="20">
        <v>9714.1392184200031</v>
      </c>
      <c r="AR8" s="20">
        <v>9282.8890235700001</v>
      </c>
      <c r="AS8" s="20">
        <v>12432.99312372</v>
      </c>
      <c r="AT8" s="20">
        <v>14716.673801640001</v>
      </c>
      <c r="AU8" s="20">
        <v>12777.758215059999</v>
      </c>
      <c r="AV8" s="20">
        <v>14693.6143854</v>
      </c>
      <c r="AW8" s="20">
        <v>15010.584524129999</v>
      </c>
      <c r="AX8" s="20">
        <v>20303.479328329999</v>
      </c>
      <c r="AY8" s="20">
        <v>23631.847321820002</v>
      </c>
      <c r="AZ8" s="20">
        <v>19176.827587320004</v>
      </c>
      <c r="BA8" s="20">
        <v>16114.074190339999</v>
      </c>
      <c r="BB8" s="20">
        <v>18790.638817060004</v>
      </c>
      <c r="BC8" s="20">
        <v>17604.427967750002</v>
      </c>
      <c r="BD8" s="20">
        <v>13942.190508559999</v>
      </c>
      <c r="BE8" s="20">
        <v>21235.062525180001</v>
      </c>
      <c r="BF8" s="20">
        <v>29203.349012630002</v>
      </c>
      <c r="BG8" s="19">
        <v>18036.233013270001</v>
      </c>
      <c r="BH8" s="19">
        <v>22852.549524299997</v>
      </c>
      <c r="BI8" s="19">
        <v>19308</v>
      </c>
      <c r="BJ8" s="19">
        <v>23897</v>
      </c>
      <c r="BK8" s="19">
        <v>21235</v>
      </c>
      <c r="BL8" s="19">
        <v>11402</v>
      </c>
      <c r="BM8" s="19">
        <v>11170</v>
      </c>
      <c r="BN8" s="19">
        <v>16579</v>
      </c>
      <c r="BO8" s="19">
        <v>12000.56727009</v>
      </c>
      <c r="BP8" s="19">
        <v>16208.977656510002</v>
      </c>
      <c r="BQ8" s="19">
        <v>24684.403612690003</v>
      </c>
      <c r="BR8" s="62">
        <v>29214</v>
      </c>
      <c r="BS8" s="62">
        <f>21587</f>
        <v>21587</v>
      </c>
      <c r="BT8" s="62">
        <f>27201</f>
        <v>27201</v>
      </c>
      <c r="BU8" s="62">
        <f>24560</f>
        <v>24560</v>
      </c>
      <c r="BV8" s="62">
        <f>22226</f>
        <v>22226</v>
      </c>
      <c r="BW8" s="62">
        <f>18096</f>
        <v>18096</v>
      </c>
      <c r="BX8" s="62">
        <f>21530</f>
        <v>21530</v>
      </c>
      <c r="BY8" s="62">
        <f>20125</f>
        <v>20125</v>
      </c>
      <c r="BZ8" s="62">
        <f>40757</f>
        <v>40757</v>
      </c>
      <c r="CA8" s="62">
        <f>26599</f>
        <v>26599</v>
      </c>
    </row>
    <row r="9" spans="1:79" x14ac:dyDescent="0.2">
      <c r="A9" s="8" t="s">
        <v>43</v>
      </c>
      <c r="B9" s="6" t="s">
        <v>35</v>
      </c>
      <c r="C9" s="20">
        <v>67797</v>
      </c>
      <c r="D9" s="20">
        <v>75013</v>
      </c>
      <c r="E9" s="20">
        <v>84889</v>
      </c>
      <c r="F9" s="20">
        <v>87431</v>
      </c>
      <c r="G9" s="20">
        <v>91057.20360523343</v>
      </c>
      <c r="H9" s="20">
        <v>95649.762108517301</v>
      </c>
      <c r="I9" s="20">
        <v>98094.123288225688</v>
      </c>
      <c r="J9" s="20">
        <v>109445.30457033213</v>
      </c>
      <c r="K9" s="20">
        <v>123140.09552653086</v>
      </c>
      <c r="L9" s="20">
        <v>148500.69067665632</v>
      </c>
      <c r="M9" s="20">
        <v>189008.00940000001</v>
      </c>
      <c r="N9" s="20">
        <v>198413</v>
      </c>
      <c r="O9" s="20">
        <v>192904</v>
      </c>
      <c r="P9" s="20">
        <f>208928</f>
        <v>208928</v>
      </c>
      <c r="Q9" s="20">
        <f>228672</f>
        <v>228672</v>
      </c>
      <c r="R9" s="8"/>
      <c r="S9" s="20">
        <v>69721</v>
      </c>
      <c r="T9" s="20">
        <v>60453</v>
      </c>
      <c r="U9" s="20">
        <v>68030</v>
      </c>
      <c r="V9" s="20">
        <v>71718</v>
      </c>
      <c r="W9" s="20">
        <v>71611</v>
      </c>
      <c r="X9" s="20">
        <v>75120</v>
      </c>
      <c r="Y9" s="20">
        <v>74073</v>
      </c>
      <c r="Z9" s="20">
        <v>78484</v>
      </c>
      <c r="AA9" s="20">
        <v>80606</v>
      </c>
      <c r="AB9" s="20">
        <v>81102</v>
      </c>
      <c r="AC9" s="20">
        <v>87800</v>
      </c>
      <c r="AD9" s="20">
        <v>85667</v>
      </c>
      <c r="AE9" s="20">
        <v>83228.279413133379</v>
      </c>
      <c r="AF9" s="20">
        <v>85288.692095209277</v>
      </c>
      <c r="AG9" s="20">
        <v>89402.153728722871</v>
      </c>
      <c r="AH9" s="20">
        <v>90510.557914723904</v>
      </c>
      <c r="AI9" s="20">
        <v>80946.282812226491</v>
      </c>
      <c r="AJ9" s="20">
        <v>97918.322170442902</v>
      </c>
      <c r="AK9" s="20">
        <v>93746.002211283601</v>
      </c>
      <c r="AL9" s="20">
        <v>90258.314857375255</v>
      </c>
      <c r="AM9" s="20">
        <v>95254</v>
      </c>
      <c r="AN9" s="20">
        <v>102223</v>
      </c>
      <c r="AO9" s="20">
        <v>99144</v>
      </c>
      <c r="AP9" s="20">
        <v>89272</v>
      </c>
      <c r="AQ9" s="20">
        <v>90177.794240254676</v>
      </c>
      <c r="AR9" s="20">
        <v>92675.773665021043</v>
      </c>
      <c r="AS9" s="20">
        <v>105015.44777916004</v>
      </c>
      <c r="AT9" s="20">
        <v>102869.44993975338</v>
      </c>
      <c r="AU9" s="20">
        <v>101473.95361667546</v>
      </c>
      <c r="AV9" s="20">
        <v>108055.02285767831</v>
      </c>
      <c r="AW9" s="20">
        <v>109015.40579162672</v>
      </c>
      <c r="AX9" s="20">
        <v>115660.46550332049</v>
      </c>
      <c r="AY9" s="20">
        <v>118796.12844466366</v>
      </c>
      <c r="AZ9" s="20">
        <v>121758.63498952119</v>
      </c>
      <c r="BA9" s="20">
        <v>125118.06952713689</v>
      </c>
      <c r="BB9" s="20">
        <v>127060.01614186288</v>
      </c>
      <c r="BC9" s="20">
        <v>142384.42321047024</v>
      </c>
      <c r="BD9" s="20">
        <v>121971.44740463202</v>
      </c>
      <c r="BE9" s="20">
        <v>159404.83358335987</v>
      </c>
      <c r="BF9" s="20">
        <v>158392.26542298836</v>
      </c>
      <c r="BG9" s="19">
        <v>164329.03697465188</v>
      </c>
      <c r="BH9" s="19">
        <v>203915.04321517842</v>
      </c>
      <c r="BI9" s="19">
        <v>190633</v>
      </c>
      <c r="BJ9" s="19">
        <v>192538</v>
      </c>
      <c r="BK9" s="19">
        <v>217611</v>
      </c>
      <c r="BL9" s="19">
        <v>181732</v>
      </c>
      <c r="BM9" s="19">
        <v>198985</v>
      </c>
      <c r="BN9" s="19">
        <v>195324</v>
      </c>
      <c r="BO9" s="19">
        <v>182478.08071313796</v>
      </c>
      <c r="BP9" s="19">
        <v>185870.63073595663</v>
      </c>
      <c r="BQ9" s="19">
        <v>199371.19042391944</v>
      </c>
      <c r="BR9" s="62">
        <v>195493</v>
      </c>
      <c r="BS9" s="62">
        <v>216512</v>
      </c>
      <c r="BT9" s="62">
        <v>192020.80584774294</v>
      </c>
      <c r="BU9" s="62">
        <f>234799</f>
        <v>234799</v>
      </c>
      <c r="BV9" s="62">
        <f>195000</f>
        <v>195000</v>
      </c>
      <c r="BW9" s="62">
        <f>194595</f>
        <v>194595</v>
      </c>
      <c r="BX9" s="62">
        <f>239432</f>
        <v>239432</v>
      </c>
      <c r="BY9" s="62">
        <f>267395</f>
        <v>267395</v>
      </c>
      <c r="BZ9" s="62">
        <f>221909</f>
        <v>221909</v>
      </c>
      <c r="CA9" s="62">
        <f>274004</f>
        <v>274004</v>
      </c>
    </row>
    <row r="10" spans="1:79" x14ac:dyDescent="0.2">
      <c r="A10" s="21"/>
      <c r="B10" s="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8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19"/>
      <c r="BH10" s="19"/>
      <c r="BI10" s="19"/>
      <c r="BJ10" s="19"/>
      <c r="BK10" s="8"/>
      <c r="BL10" s="8"/>
      <c r="BM10" s="8"/>
      <c r="BN10" s="8"/>
      <c r="BO10" s="8"/>
      <c r="BP10" s="8"/>
      <c r="BQ10" s="8"/>
      <c r="BT10" s="5"/>
      <c r="BU10" s="5"/>
      <c r="BV10" s="62"/>
      <c r="BW10" s="62"/>
      <c r="BX10" s="62"/>
      <c r="BY10" s="62"/>
      <c r="BZ10" s="62"/>
      <c r="CA10" s="62"/>
    </row>
    <row r="11" spans="1:79" x14ac:dyDescent="0.2">
      <c r="A11" s="12" t="s">
        <v>46</v>
      </c>
      <c r="B11" s="6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8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19"/>
      <c r="BH11" s="19"/>
      <c r="BI11" s="19"/>
      <c r="BJ11" s="19"/>
      <c r="BK11" s="8"/>
      <c r="BL11" s="8"/>
      <c r="BM11" s="8"/>
      <c r="BN11" s="8"/>
      <c r="BO11" s="8"/>
      <c r="BP11" s="8"/>
      <c r="BQ11" s="8"/>
      <c r="BT11" s="5"/>
      <c r="BU11" s="5"/>
      <c r="BV11" s="62"/>
      <c r="BW11" s="62"/>
      <c r="BX11" s="62"/>
      <c r="BY11" s="62"/>
      <c r="BZ11" s="62"/>
      <c r="CA11" s="62"/>
    </row>
    <row r="12" spans="1:79" x14ac:dyDescent="0.2">
      <c r="A12" s="8" t="s">
        <v>44</v>
      </c>
      <c r="B12" s="6" t="s">
        <v>2</v>
      </c>
      <c r="C12" s="20">
        <v>4192</v>
      </c>
      <c r="D12" s="20">
        <f>SUM(W12:Z12)</f>
        <v>5797</v>
      </c>
      <c r="E12" s="20">
        <f>SUM(AA12:AD12)</f>
        <v>6876</v>
      </c>
      <c r="F12" s="20">
        <f>SUM(AE12:AH12)</f>
        <v>9045</v>
      </c>
      <c r="G12" s="20">
        <f>SUM(AI12:AL12)</f>
        <v>7841</v>
      </c>
      <c r="H12" s="20">
        <f>SUM(AM12:AP12)</f>
        <v>9590</v>
      </c>
      <c r="I12" s="20">
        <f>SUM(AQ12:AT12)</f>
        <v>9916</v>
      </c>
      <c r="J12" s="20">
        <f>SUM(AU12:AX12)</f>
        <v>12312</v>
      </c>
      <c r="K12" s="20">
        <f>SUM(AY12:BB12)</f>
        <v>12040</v>
      </c>
      <c r="L12" s="20">
        <f>SUM(BC12:BF12)</f>
        <v>9725</v>
      </c>
      <c r="M12" s="20">
        <f>SUM(BG12:BJ12)</f>
        <v>8560</v>
      </c>
      <c r="N12" s="20">
        <f t="shared" si="0"/>
        <v>6457</v>
      </c>
      <c r="O12" s="20">
        <f>SUM(BO12:BR12)</f>
        <v>11689</v>
      </c>
      <c r="P12" s="20">
        <f>SUM(BS12:BV12)</f>
        <v>14304</v>
      </c>
      <c r="Q12" s="20">
        <f>12509</f>
        <v>12509</v>
      </c>
      <c r="R12" s="8"/>
      <c r="S12" s="20"/>
      <c r="T12" s="20"/>
      <c r="U12" s="20"/>
      <c r="V12" s="20"/>
      <c r="W12" s="20">
        <v>1338</v>
      </c>
      <c r="X12" s="20">
        <v>1235</v>
      </c>
      <c r="Y12" s="20">
        <v>1390</v>
      </c>
      <c r="Z12" s="20">
        <v>1834</v>
      </c>
      <c r="AA12" s="20">
        <v>1454</v>
      </c>
      <c r="AB12" s="20">
        <v>1548</v>
      </c>
      <c r="AC12" s="20">
        <v>1752</v>
      </c>
      <c r="AD12" s="20">
        <v>2122</v>
      </c>
      <c r="AE12" s="20">
        <v>2300</v>
      </c>
      <c r="AF12" s="20">
        <v>2033</v>
      </c>
      <c r="AG12" s="20">
        <v>1960</v>
      </c>
      <c r="AH12" s="20">
        <v>2752</v>
      </c>
      <c r="AI12" s="20">
        <v>1028</v>
      </c>
      <c r="AJ12" s="20">
        <v>831</v>
      </c>
      <c r="AK12" s="20">
        <v>2525</v>
      </c>
      <c r="AL12" s="20">
        <v>3457</v>
      </c>
      <c r="AM12" s="20">
        <v>2634</v>
      </c>
      <c r="AN12" s="20">
        <v>1886</v>
      </c>
      <c r="AO12" s="20">
        <v>2069</v>
      </c>
      <c r="AP12" s="20">
        <v>3001</v>
      </c>
      <c r="AQ12" s="20">
        <v>2082</v>
      </c>
      <c r="AR12" s="20">
        <v>2321</v>
      </c>
      <c r="AS12" s="20">
        <v>2331</v>
      </c>
      <c r="AT12" s="20">
        <v>3182</v>
      </c>
      <c r="AU12" s="20">
        <v>2573</v>
      </c>
      <c r="AV12" s="20">
        <v>2532</v>
      </c>
      <c r="AW12" s="20">
        <v>2962</v>
      </c>
      <c r="AX12" s="20">
        <v>4245</v>
      </c>
      <c r="AY12" s="20">
        <v>3470</v>
      </c>
      <c r="AZ12" s="20">
        <v>3060</v>
      </c>
      <c r="BA12" s="20">
        <v>2579</v>
      </c>
      <c r="BB12" s="20">
        <v>2931</v>
      </c>
      <c r="BC12" s="20">
        <v>2323</v>
      </c>
      <c r="BD12" s="20">
        <v>1559</v>
      </c>
      <c r="BE12" s="20">
        <v>2706</v>
      </c>
      <c r="BF12" s="20">
        <v>3137</v>
      </c>
      <c r="BG12" s="19">
        <v>1989</v>
      </c>
      <c r="BH12" s="19">
        <v>2297</v>
      </c>
      <c r="BI12" s="19">
        <v>1869</v>
      </c>
      <c r="BJ12" s="19">
        <v>2405</v>
      </c>
      <c r="BK12" s="19">
        <v>1899</v>
      </c>
      <c r="BL12" s="19">
        <v>1216</v>
      </c>
      <c r="BM12" s="19">
        <v>1572</v>
      </c>
      <c r="BN12" s="19">
        <v>1770</v>
      </c>
      <c r="BO12" s="19">
        <v>1555</v>
      </c>
      <c r="BP12" s="19">
        <v>2265</v>
      </c>
      <c r="BQ12" s="19">
        <v>3343</v>
      </c>
      <c r="BR12" s="62">
        <v>4526</v>
      </c>
      <c r="BS12" s="62">
        <v>3816</v>
      </c>
      <c r="BT12" s="62">
        <v>3643</v>
      </c>
      <c r="BU12" s="62">
        <f>3368</f>
        <v>3368</v>
      </c>
      <c r="BV12" s="62">
        <f>3477</f>
        <v>3477</v>
      </c>
      <c r="BW12" s="62">
        <f>4075</f>
        <v>4075</v>
      </c>
      <c r="BX12" s="62">
        <f>2479</f>
        <v>2479</v>
      </c>
      <c r="BY12" s="62">
        <f>2772</f>
        <v>2772</v>
      </c>
      <c r="BZ12" s="62">
        <f>3183</f>
        <v>3183</v>
      </c>
      <c r="CA12" s="62">
        <f>1679</f>
        <v>1679</v>
      </c>
    </row>
    <row r="13" spans="1:79" x14ac:dyDescent="0.2">
      <c r="A13" s="8" t="s">
        <v>45</v>
      </c>
      <c r="B13" s="6"/>
      <c r="C13" s="20"/>
      <c r="D13" s="20">
        <f>SUM(W13:Z13)</f>
        <v>794</v>
      </c>
      <c r="E13" s="20">
        <f>SUM(AA13:AD13)</f>
        <v>1415</v>
      </c>
      <c r="F13" s="20">
        <f>SUM(AE13:AH13)</f>
        <v>2026</v>
      </c>
      <c r="G13" s="20">
        <f>SUM(AI13:AL13)</f>
        <v>1184</v>
      </c>
      <c r="H13" s="20">
        <f>SUM(AM13:AP13)</f>
        <v>2047</v>
      </c>
      <c r="I13" s="20">
        <f>SUM(AQ13:AT13)</f>
        <v>3357</v>
      </c>
      <c r="J13" s="20">
        <f>SUM(AU13:AX13)</f>
        <v>5027</v>
      </c>
      <c r="K13" s="20">
        <f>SUM(AY13:BB13)</f>
        <v>4336</v>
      </c>
      <c r="L13" s="20">
        <f>SUM(BC13:BF13)</f>
        <v>4168</v>
      </c>
      <c r="M13" s="20">
        <f>SUM(BG13:BJ13)</f>
        <v>3499</v>
      </c>
      <c r="N13" s="20">
        <f t="shared" si="0"/>
        <v>2531</v>
      </c>
      <c r="O13" s="20">
        <f>SUM(BO13:BR13)</f>
        <v>5818</v>
      </c>
      <c r="P13" s="20">
        <f>SUM(BS13:BV13)</f>
        <v>4229</v>
      </c>
      <c r="Q13" s="20">
        <f>2613</f>
        <v>2613</v>
      </c>
      <c r="R13" s="8"/>
      <c r="S13" s="107"/>
      <c r="T13" s="107"/>
      <c r="U13" s="107"/>
      <c r="V13" s="107"/>
      <c r="W13" s="107">
        <v>140</v>
      </c>
      <c r="X13" s="107">
        <v>137</v>
      </c>
      <c r="Y13" s="107">
        <v>188</v>
      </c>
      <c r="Z13" s="107">
        <v>329</v>
      </c>
      <c r="AA13" s="107">
        <v>255</v>
      </c>
      <c r="AB13" s="107">
        <v>362</v>
      </c>
      <c r="AC13" s="107">
        <v>368</v>
      </c>
      <c r="AD13" s="107">
        <v>430</v>
      </c>
      <c r="AE13" s="107">
        <v>396</v>
      </c>
      <c r="AF13" s="107">
        <v>464</v>
      </c>
      <c r="AG13" s="107">
        <v>542</v>
      </c>
      <c r="AH13" s="107">
        <v>624</v>
      </c>
      <c r="AI13" s="107">
        <v>115</v>
      </c>
      <c r="AJ13" s="107">
        <v>167</v>
      </c>
      <c r="AK13" s="107">
        <v>376</v>
      </c>
      <c r="AL13" s="107">
        <v>526</v>
      </c>
      <c r="AM13" s="107">
        <v>519</v>
      </c>
      <c r="AN13" s="107">
        <v>391</v>
      </c>
      <c r="AO13" s="107">
        <v>449</v>
      </c>
      <c r="AP13" s="107">
        <v>688</v>
      </c>
      <c r="AQ13" s="107">
        <v>466</v>
      </c>
      <c r="AR13" s="107">
        <v>771</v>
      </c>
      <c r="AS13" s="107">
        <v>817</v>
      </c>
      <c r="AT13" s="107">
        <v>1303</v>
      </c>
      <c r="AU13" s="107">
        <v>1018</v>
      </c>
      <c r="AV13" s="107">
        <v>1052</v>
      </c>
      <c r="AW13" s="107">
        <v>1203</v>
      </c>
      <c r="AX13" s="107">
        <v>1754</v>
      </c>
      <c r="AY13" s="107">
        <v>1281</v>
      </c>
      <c r="AZ13" s="107">
        <v>1094</v>
      </c>
      <c r="BA13" s="107">
        <v>930</v>
      </c>
      <c r="BB13" s="107">
        <v>1031</v>
      </c>
      <c r="BC13" s="107">
        <v>830</v>
      </c>
      <c r="BD13" s="107">
        <v>686</v>
      </c>
      <c r="BE13" s="107">
        <v>1260</v>
      </c>
      <c r="BF13" s="107">
        <v>1392</v>
      </c>
      <c r="BG13" s="107">
        <v>730</v>
      </c>
      <c r="BH13" s="19">
        <v>1077</v>
      </c>
      <c r="BI13" s="19">
        <v>734</v>
      </c>
      <c r="BJ13" s="19">
        <v>958</v>
      </c>
      <c r="BK13" s="19">
        <v>622</v>
      </c>
      <c r="BL13" s="19">
        <v>299</v>
      </c>
      <c r="BM13" s="19">
        <v>580</v>
      </c>
      <c r="BN13" s="19">
        <v>1030</v>
      </c>
      <c r="BO13" s="19">
        <v>733</v>
      </c>
      <c r="BP13" s="19">
        <v>1134</v>
      </c>
      <c r="BQ13" s="19">
        <v>1638</v>
      </c>
      <c r="BR13" s="62">
        <v>2313</v>
      </c>
      <c r="BS13" s="62">
        <v>939</v>
      </c>
      <c r="BT13" s="62">
        <v>1637</v>
      </c>
      <c r="BU13" s="62">
        <f>992</f>
        <v>992</v>
      </c>
      <c r="BV13" s="62">
        <f>661</f>
        <v>661</v>
      </c>
      <c r="BW13" s="62">
        <v>654</v>
      </c>
      <c r="BX13" s="62">
        <f>782</f>
        <v>782</v>
      </c>
      <c r="BY13" s="62">
        <f>609</f>
        <v>609</v>
      </c>
      <c r="BZ13" s="62">
        <f>640</f>
        <v>640</v>
      </c>
      <c r="CA13" s="62">
        <f>498</f>
        <v>498</v>
      </c>
    </row>
    <row r="14" spans="1:79" x14ac:dyDescent="0.2">
      <c r="A14" s="8" t="s">
        <v>47</v>
      </c>
      <c r="B14" s="108" t="s">
        <v>3</v>
      </c>
      <c r="C14" s="20"/>
      <c r="D14" s="20">
        <f>D13/D12*100</f>
        <v>13.696739692944625</v>
      </c>
      <c r="E14" s="20">
        <f t="shared" ref="E14:L14" si="1">E13/E12*100</f>
        <v>20.578824898196626</v>
      </c>
      <c r="F14" s="20">
        <f t="shared" si="1"/>
        <v>22.39911553344389</v>
      </c>
      <c r="G14" s="20">
        <f t="shared" si="1"/>
        <v>15.100114781277899</v>
      </c>
      <c r="H14" s="20">
        <f t="shared" si="1"/>
        <v>21.345151199165798</v>
      </c>
      <c r="I14" s="20">
        <f t="shared" si="1"/>
        <v>33.854376764824529</v>
      </c>
      <c r="J14" s="20">
        <f t="shared" si="1"/>
        <v>40.830084470435345</v>
      </c>
      <c r="K14" s="20">
        <f t="shared" si="1"/>
        <v>36.013289036544847</v>
      </c>
      <c r="L14" s="20">
        <f t="shared" si="1"/>
        <v>42.858611825192803</v>
      </c>
      <c r="M14" s="20">
        <f>M13/M12*100</f>
        <v>40.876168224299064</v>
      </c>
      <c r="N14" s="20">
        <f>N13/N12*100</f>
        <v>39.197769862165096</v>
      </c>
      <c r="O14" s="20">
        <f>O13/O12*100</f>
        <v>49.77329112841133</v>
      </c>
      <c r="P14" s="20">
        <f>P13/P12*100</f>
        <v>29.565156599552573</v>
      </c>
      <c r="Q14" s="20">
        <f>21</f>
        <v>21</v>
      </c>
      <c r="R14" s="8"/>
      <c r="S14" s="107">
        <v>6</v>
      </c>
      <c r="T14" s="107">
        <v>11</v>
      </c>
      <c r="U14" s="107">
        <v>7.0000000000000009</v>
      </c>
      <c r="V14" s="107">
        <v>16</v>
      </c>
      <c r="W14" s="107">
        <v>10</v>
      </c>
      <c r="X14" s="107">
        <v>10</v>
      </c>
      <c r="Y14" s="107">
        <v>13</v>
      </c>
      <c r="Z14" s="107">
        <v>18</v>
      </c>
      <c r="AA14" s="107">
        <v>18</v>
      </c>
      <c r="AB14" s="107">
        <v>24</v>
      </c>
      <c r="AC14" s="107">
        <v>21</v>
      </c>
      <c r="AD14" s="107">
        <v>20</v>
      </c>
      <c r="AE14" s="107">
        <v>17</v>
      </c>
      <c r="AF14" s="107">
        <v>23</v>
      </c>
      <c r="AG14" s="107">
        <v>28</v>
      </c>
      <c r="AH14" s="107">
        <v>23</v>
      </c>
      <c r="AI14" s="107">
        <v>11</v>
      </c>
      <c r="AJ14" s="107">
        <v>20</v>
      </c>
      <c r="AK14" s="107">
        <v>15</v>
      </c>
      <c r="AL14" s="107">
        <v>15</v>
      </c>
      <c r="AM14" s="107">
        <v>20</v>
      </c>
      <c r="AN14" s="107">
        <v>21</v>
      </c>
      <c r="AO14" s="107">
        <v>22</v>
      </c>
      <c r="AP14" s="107">
        <v>23</v>
      </c>
      <c r="AQ14" s="107">
        <v>22</v>
      </c>
      <c r="AR14" s="107">
        <v>33</v>
      </c>
      <c r="AS14" s="107">
        <v>35</v>
      </c>
      <c r="AT14" s="107">
        <v>41</v>
      </c>
      <c r="AU14" s="107">
        <v>40</v>
      </c>
      <c r="AV14" s="107">
        <v>42</v>
      </c>
      <c r="AW14" s="107">
        <v>41</v>
      </c>
      <c r="AX14" s="107">
        <v>41</v>
      </c>
      <c r="AY14" s="107">
        <v>37</v>
      </c>
      <c r="AZ14" s="107">
        <v>36</v>
      </c>
      <c r="BA14" s="107">
        <v>36</v>
      </c>
      <c r="BB14" s="107">
        <v>35</v>
      </c>
      <c r="BC14" s="107">
        <v>36</v>
      </c>
      <c r="BD14" s="107">
        <v>44</v>
      </c>
      <c r="BE14" s="107">
        <v>47</v>
      </c>
      <c r="BF14" s="107">
        <v>44</v>
      </c>
      <c r="BG14" s="107">
        <v>37</v>
      </c>
      <c r="BH14" s="19">
        <v>47</v>
      </c>
      <c r="BI14" s="19">
        <v>39</v>
      </c>
      <c r="BJ14" s="19">
        <v>40</v>
      </c>
      <c r="BK14" s="19">
        <v>33</v>
      </c>
      <c r="BL14" s="19">
        <v>25</v>
      </c>
      <c r="BM14" s="19">
        <v>37</v>
      </c>
      <c r="BN14" s="19">
        <v>58</v>
      </c>
      <c r="BO14" s="19">
        <v>47.138263665594856</v>
      </c>
      <c r="BP14" s="19">
        <v>50.066225165562919</v>
      </c>
      <c r="BQ14" s="19">
        <v>48.997906072390066</v>
      </c>
      <c r="BR14" s="62">
        <v>51</v>
      </c>
      <c r="BS14" s="62">
        <v>25</v>
      </c>
      <c r="BT14" s="62">
        <v>45</v>
      </c>
      <c r="BU14" s="62">
        <f>29</f>
        <v>29</v>
      </c>
      <c r="BV14" s="62">
        <f>19</f>
        <v>19</v>
      </c>
      <c r="BW14" s="62">
        <v>16</v>
      </c>
      <c r="BX14" s="62">
        <f>32</f>
        <v>32</v>
      </c>
      <c r="BY14" s="62">
        <f>22</f>
        <v>22</v>
      </c>
      <c r="BZ14" s="62">
        <f>20</f>
        <v>20</v>
      </c>
      <c r="CA14" s="62">
        <f>30</f>
        <v>30</v>
      </c>
    </row>
    <row r="15" spans="1:79" x14ac:dyDescent="0.2">
      <c r="A15" s="22"/>
      <c r="B15" s="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8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19"/>
      <c r="BH15" s="19"/>
      <c r="BI15" s="19"/>
      <c r="BJ15" s="19"/>
      <c r="BK15" s="8"/>
      <c r="BL15" s="8"/>
      <c r="BM15" s="8"/>
      <c r="BN15" s="8"/>
      <c r="BO15" s="8"/>
      <c r="BP15" s="8"/>
      <c r="BQ15" s="8"/>
      <c r="BT15" s="5"/>
      <c r="BU15" s="5"/>
      <c r="BV15" s="62"/>
      <c r="BW15" s="62"/>
      <c r="BX15" s="62"/>
      <c r="BY15" s="62"/>
      <c r="BZ15" s="62"/>
      <c r="CA15" s="62"/>
    </row>
    <row r="16" spans="1:79" x14ac:dyDescent="0.2">
      <c r="A16" s="12" t="s">
        <v>48</v>
      </c>
      <c r="B16" s="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8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19"/>
      <c r="BH16" s="19"/>
      <c r="BI16" s="19"/>
      <c r="BJ16" s="19"/>
      <c r="BK16" s="8"/>
      <c r="BL16" s="8"/>
      <c r="BM16" s="8"/>
      <c r="BN16" s="8"/>
      <c r="BO16" s="8"/>
      <c r="BP16" s="8"/>
      <c r="BQ16" s="8"/>
      <c r="BT16" s="5"/>
      <c r="BU16" s="5"/>
      <c r="BV16" s="62"/>
      <c r="BW16" s="62"/>
      <c r="BX16" s="62"/>
      <c r="BY16" s="62"/>
      <c r="BZ16" s="62"/>
      <c r="CA16" s="62"/>
    </row>
    <row r="17" spans="1:79" x14ac:dyDescent="0.2">
      <c r="A17" s="8" t="s">
        <v>49</v>
      </c>
      <c r="B17" s="6" t="s">
        <v>51</v>
      </c>
      <c r="C17" s="20">
        <f>SUM(S17:V17)</f>
        <v>270012</v>
      </c>
      <c r="D17" s="20">
        <f>SUM(W17:Z17)</f>
        <v>316466</v>
      </c>
      <c r="E17" s="20">
        <f>SUM(AA17:AD17)</f>
        <v>356075</v>
      </c>
      <c r="F17" s="20">
        <f>SUM(AE17:AH17)</f>
        <v>457055.99999999994</v>
      </c>
      <c r="G17" s="20">
        <f>SUM(AI17:AL17)</f>
        <v>385252.00999999983</v>
      </c>
      <c r="H17" s="20">
        <f>SUM(AM17:AP17)</f>
        <v>496008</v>
      </c>
      <c r="I17" s="20">
        <f>SUM(AQ17:AT17)</f>
        <v>512160.82999999996</v>
      </c>
      <c r="J17" s="20">
        <f>SUM(AU17:AX17)</f>
        <v>627996.36000000057</v>
      </c>
      <c r="K17" s="20">
        <f>SUM(AY17:BB17)</f>
        <v>630399.10999999975</v>
      </c>
      <c r="L17" s="20">
        <f>SUM(BC17:BF17)</f>
        <v>538194.04</v>
      </c>
      <c r="M17" s="20">
        <f>SUM(BG17:BJ17)</f>
        <v>446479.84000000008</v>
      </c>
      <c r="N17" s="20">
        <f t="shared" si="0"/>
        <v>292395</v>
      </c>
      <c r="O17" s="20">
        <f>SUM(BO17:BR17)</f>
        <v>547234.76</v>
      </c>
      <c r="P17" s="20">
        <f>SUM(BS17:BV17)</f>
        <v>699959.08999999985</v>
      </c>
      <c r="Q17" s="20">
        <f>671437</f>
        <v>671437</v>
      </c>
      <c r="R17" s="8"/>
      <c r="S17" s="20">
        <v>59638</v>
      </c>
      <c r="T17" s="20">
        <v>62544</v>
      </c>
      <c r="U17" s="20">
        <v>63737</v>
      </c>
      <c r="V17" s="20">
        <v>84093</v>
      </c>
      <c r="W17" s="20">
        <v>77726</v>
      </c>
      <c r="X17" s="20">
        <v>69155</v>
      </c>
      <c r="Y17" s="20">
        <v>75102</v>
      </c>
      <c r="Z17" s="20">
        <v>94483</v>
      </c>
      <c r="AA17" s="20">
        <v>73481</v>
      </c>
      <c r="AB17" s="20">
        <v>80042</v>
      </c>
      <c r="AC17" s="20">
        <v>92755</v>
      </c>
      <c r="AD17" s="20">
        <v>109797</v>
      </c>
      <c r="AE17" s="20">
        <v>109059.86999999998</v>
      </c>
      <c r="AF17" s="20">
        <v>94914.339999999938</v>
      </c>
      <c r="AG17" s="20">
        <v>106039.39000000001</v>
      </c>
      <c r="AH17" s="20">
        <v>147042.40000000002</v>
      </c>
      <c r="AI17" s="20">
        <v>46989.890000000007</v>
      </c>
      <c r="AJ17" s="20">
        <v>41973</v>
      </c>
      <c r="AK17" s="20">
        <v>121522.17999999996</v>
      </c>
      <c r="AL17" s="20">
        <v>174766.93999999986</v>
      </c>
      <c r="AM17" s="20">
        <v>135003</v>
      </c>
      <c r="AN17" s="20">
        <v>100599</v>
      </c>
      <c r="AO17" s="20">
        <v>106661</v>
      </c>
      <c r="AP17" s="20">
        <v>153745</v>
      </c>
      <c r="AQ17" s="20">
        <v>113645.64999999998</v>
      </c>
      <c r="AR17" s="20">
        <v>122427.20999999999</v>
      </c>
      <c r="AS17" s="20">
        <v>113979.40000000005</v>
      </c>
      <c r="AT17" s="20">
        <v>162108.56999999995</v>
      </c>
      <c r="AU17" s="20">
        <v>134075.34000000008</v>
      </c>
      <c r="AV17" s="20">
        <v>128467.99000000011</v>
      </c>
      <c r="AW17" s="20">
        <v>154096.60000000015</v>
      </c>
      <c r="AX17" s="20">
        <v>211356.43000000023</v>
      </c>
      <c r="AY17" s="20">
        <v>167954.35000000003</v>
      </c>
      <c r="AZ17" s="20">
        <v>154257.2699999999</v>
      </c>
      <c r="BA17" s="20">
        <v>136657.71999999997</v>
      </c>
      <c r="BB17" s="20">
        <v>171529.76999999981</v>
      </c>
      <c r="BC17" s="20">
        <v>125971.07999999997</v>
      </c>
      <c r="BD17" s="20">
        <v>94984.22000000003</v>
      </c>
      <c r="BE17" s="20">
        <v>150450.70000000001</v>
      </c>
      <c r="BF17" s="20">
        <v>166788.04</v>
      </c>
      <c r="BG17" s="19">
        <v>98670.300000000032</v>
      </c>
      <c r="BH17" s="19">
        <v>122269.54000000007</v>
      </c>
      <c r="BI17" s="19">
        <v>96470</v>
      </c>
      <c r="BJ17" s="19">
        <v>129070</v>
      </c>
      <c r="BK17" s="19">
        <v>90439</v>
      </c>
      <c r="BL17" s="19">
        <v>53036</v>
      </c>
      <c r="BM17" s="19">
        <v>66986</v>
      </c>
      <c r="BN17" s="19">
        <v>81934</v>
      </c>
      <c r="BO17" s="19">
        <v>73632.870000000039</v>
      </c>
      <c r="BP17" s="19">
        <v>110647.41</v>
      </c>
      <c r="BQ17" s="19">
        <v>156337.03</v>
      </c>
      <c r="BR17" s="62">
        <v>206617.44999999995</v>
      </c>
      <c r="BS17" s="62">
        <v>189205</v>
      </c>
      <c r="BT17" s="62">
        <v>195951.15999999989</v>
      </c>
      <c r="BU17" s="62">
        <v>157360.99999999997</v>
      </c>
      <c r="BV17" s="62">
        <v>157441.93</v>
      </c>
      <c r="BW17" s="62">
        <v>192077</v>
      </c>
      <c r="BX17" s="62">
        <v>103677.55000000002</v>
      </c>
      <c r="BY17" s="62">
        <f>175226</f>
        <v>175226</v>
      </c>
      <c r="BZ17" s="62">
        <f>200456</f>
        <v>200456</v>
      </c>
      <c r="CA17" s="62">
        <f>89973</f>
        <v>89973</v>
      </c>
    </row>
    <row r="18" spans="1:79" x14ac:dyDescent="0.2">
      <c r="A18" s="119" t="s">
        <v>50</v>
      </c>
      <c r="B18" s="23" t="s">
        <v>51</v>
      </c>
      <c r="C18" s="24">
        <v>328435</v>
      </c>
      <c r="D18" s="24">
        <v>363120</v>
      </c>
      <c r="E18" s="24">
        <v>468248</v>
      </c>
      <c r="F18" s="24">
        <v>583483</v>
      </c>
      <c r="G18" s="24">
        <v>502203</v>
      </c>
      <c r="H18" s="24">
        <v>420325</v>
      </c>
      <c r="I18" s="24">
        <f>SUM(AQ18:AT18)</f>
        <v>422946</v>
      </c>
      <c r="J18" s="24">
        <f>SUM(AU18:AX18)</f>
        <v>479339</v>
      </c>
      <c r="K18" s="24">
        <f>SUM(AY18:BB18)</f>
        <v>621866.93999999994</v>
      </c>
      <c r="L18" s="24">
        <f>SUM(BC18:BF18)</f>
        <v>540325.10000000009</v>
      </c>
      <c r="M18" s="24">
        <f>SUM(BG18:BJ18)</f>
        <v>421209.4</v>
      </c>
      <c r="N18" s="24">
        <f t="shared" si="0"/>
        <v>734773</v>
      </c>
      <c r="O18" s="24">
        <f>SUM(BO18:BR18)</f>
        <v>416726.2</v>
      </c>
      <c r="P18" s="24">
        <f>SUM(BS18:BV18)</f>
        <v>161232</v>
      </c>
      <c r="Q18" s="24">
        <f>483472</f>
        <v>483472</v>
      </c>
      <c r="R18" s="8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>
        <v>0</v>
      </c>
      <c r="AR18" s="24">
        <v>107796.6</v>
      </c>
      <c r="AS18" s="24">
        <v>19771.7</v>
      </c>
      <c r="AT18" s="24">
        <v>295377.7</v>
      </c>
      <c r="AU18" s="24">
        <v>0</v>
      </c>
      <c r="AV18" s="24">
        <v>0</v>
      </c>
      <c r="AW18" s="24">
        <v>56270</v>
      </c>
      <c r="AX18" s="24">
        <v>423069</v>
      </c>
      <c r="AY18" s="24">
        <v>34538.639999999999</v>
      </c>
      <c r="AZ18" s="24">
        <v>211804.59999999998</v>
      </c>
      <c r="BA18" s="24">
        <v>67230.100000000006</v>
      </c>
      <c r="BB18" s="24">
        <v>308293.60000000003</v>
      </c>
      <c r="BC18" s="24">
        <v>88512.6</v>
      </c>
      <c r="BD18" s="24">
        <v>88846.8</v>
      </c>
      <c r="BE18" s="24">
        <v>15569.7</v>
      </c>
      <c r="BF18" s="24">
        <v>347396</v>
      </c>
      <c r="BG18" s="25">
        <v>3028.4</v>
      </c>
      <c r="BH18" s="25">
        <v>0</v>
      </c>
      <c r="BI18" s="25">
        <v>181071</v>
      </c>
      <c r="BJ18" s="25">
        <v>237110</v>
      </c>
      <c r="BK18" s="25">
        <v>175693</v>
      </c>
      <c r="BL18" s="25">
        <v>58981</v>
      </c>
      <c r="BM18" s="25">
        <v>100377</v>
      </c>
      <c r="BN18" s="25">
        <v>399722</v>
      </c>
      <c r="BO18" s="25">
        <v>88068.2</v>
      </c>
      <c r="BP18" s="25">
        <v>107671.70000000001</v>
      </c>
      <c r="BQ18" s="25">
        <v>43235.3</v>
      </c>
      <c r="BR18" s="25">
        <v>177751</v>
      </c>
      <c r="BS18" s="25">
        <v>0</v>
      </c>
      <c r="BT18" s="25">
        <f>50919</f>
        <v>50919</v>
      </c>
      <c r="BU18" s="25">
        <f>35495</f>
        <v>35495</v>
      </c>
      <c r="BV18" s="25">
        <f>74818</f>
        <v>74818</v>
      </c>
      <c r="BW18" s="25">
        <v>73153</v>
      </c>
      <c r="BX18" s="25">
        <f>90700</f>
        <v>90700</v>
      </c>
      <c r="BY18" s="25">
        <f>149778</f>
        <v>149778</v>
      </c>
      <c r="BZ18" s="25">
        <f>169841</f>
        <v>169841</v>
      </c>
      <c r="CA18" s="25">
        <f>236548</f>
        <v>236548</v>
      </c>
    </row>
    <row r="19" spans="1:79" x14ac:dyDescent="0.2">
      <c r="A19" s="65"/>
      <c r="B19" s="6"/>
      <c r="C19" s="9"/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1:79" x14ac:dyDescent="0.2">
      <c r="A20" s="65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H20" s="8"/>
      <c r="BI20" s="8"/>
      <c r="BJ20" s="8"/>
      <c r="BK20" s="8"/>
      <c r="BL20" s="8"/>
      <c r="BM20" s="8"/>
    </row>
    <row r="21" spans="1:79" ht="18" x14ac:dyDescent="0.25">
      <c r="A21" s="51" t="s">
        <v>17</v>
      </c>
      <c r="B21" s="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8"/>
      <c r="N21" s="8"/>
      <c r="O21" s="8"/>
      <c r="P21" s="8"/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1:79" ht="15" x14ac:dyDescent="0.25">
      <c r="A22" s="112" t="s">
        <v>23</v>
      </c>
      <c r="B22" s="6"/>
      <c r="C22" s="9"/>
      <c r="D22" s="9"/>
      <c r="E22" s="9"/>
      <c r="F22" s="9"/>
      <c r="G22" s="9"/>
      <c r="H22" s="9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</row>
    <row r="23" spans="1:79" x14ac:dyDescent="0.2">
      <c r="A23" s="65"/>
      <c r="B23" s="6"/>
      <c r="C23" s="9"/>
      <c r="D23" s="9"/>
      <c r="E23" s="9"/>
      <c r="F23" s="9"/>
      <c r="G23" s="9"/>
      <c r="H23" s="9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</row>
    <row r="24" spans="1:79" x14ac:dyDescent="0.2">
      <c r="A24" s="18"/>
      <c r="B24" s="103"/>
      <c r="C24" s="104">
        <v>2011</v>
      </c>
      <c r="D24" s="104">
        <v>2012</v>
      </c>
      <c r="E24" s="104">
        <v>2013</v>
      </c>
      <c r="F24" s="104">
        <v>2014</v>
      </c>
      <c r="G24" s="104">
        <v>2015</v>
      </c>
      <c r="H24" s="104">
        <v>2016</v>
      </c>
      <c r="I24" s="104">
        <v>2017</v>
      </c>
      <c r="J24" s="104">
        <v>2018</v>
      </c>
      <c r="K24" s="104">
        <v>2019</v>
      </c>
      <c r="L24" s="104">
        <v>2020</v>
      </c>
      <c r="M24" s="104">
        <v>2021</v>
      </c>
      <c r="N24" s="104">
        <f>N5</f>
        <v>2022</v>
      </c>
      <c r="O24" s="104">
        <f>O5</f>
        <v>2023</v>
      </c>
      <c r="P24" s="104">
        <f>P5</f>
        <v>2024</v>
      </c>
      <c r="Q24" s="104">
        <v>2025</v>
      </c>
      <c r="R24" s="105"/>
      <c r="S24" s="106" t="s">
        <v>58</v>
      </c>
      <c r="T24" s="106" t="s">
        <v>59</v>
      </c>
      <c r="U24" s="106" t="s">
        <v>60</v>
      </c>
      <c r="V24" s="106" t="s">
        <v>61</v>
      </c>
      <c r="W24" s="106" t="s">
        <v>62</v>
      </c>
      <c r="X24" s="106" t="s">
        <v>63</v>
      </c>
      <c r="Y24" s="106" t="s">
        <v>64</v>
      </c>
      <c r="Z24" s="106" t="s">
        <v>65</v>
      </c>
      <c r="AA24" s="106" t="s">
        <v>66</v>
      </c>
      <c r="AB24" s="106" t="s">
        <v>67</v>
      </c>
      <c r="AC24" s="106" t="s">
        <v>68</v>
      </c>
      <c r="AD24" s="106" t="s">
        <v>69</v>
      </c>
      <c r="AE24" s="106" t="s">
        <v>70</v>
      </c>
      <c r="AF24" s="106" t="s">
        <v>71</v>
      </c>
      <c r="AG24" s="106" t="s">
        <v>72</v>
      </c>
      <c r="AH24" s="106" t="s">
        <v>73</v>
      </c>
      <c r="AI24" s="106" t="s">
        <v>74</v>
      </c>
      <c r="AJ24" s="106" t="s">
        <v>75</v>
      </c>
      <c r="AK24" s="106" t="s">
        <v>76</v>
      </c>
      <c r="AL24" s="106" t="s">
        <v>77</v>
      </c>
      <c r="AM24" s="106" t="s">
        <v>78</v>
      </c>
      <c r="AN24" s="106" t="s">
        <v>79</v>
      </c>
      <c r="AO24" s="106" t="s">
        <v>80</v>
      </c>
      <c r="AP24" s="106" t="s">
        <v>81</v>
      </c>
      <c r="AQ24" s="106" t="s">
        <v>82</v>
      </c>
      <c r="AR24" s="106" t="s">
        <v>83</v>
      </c>
      <c r="AS24" s="106" t="s">
        <v>84</v>
      </c>
      <c r="AT24" s="106" t="s">
        <v>85</v>
      </c>
      <c r="AU24" s="106" t="s">
        <v>86</v>
      </c>
      <c r="AV24" s="106" t="s">
        <v>87</v>
      </c>
      <c r="AW24" s="106" t="s">
        <v>88</v>
      </c>
      <c r="AX24" s="106" t="s">
        <v>89</v>
      </c>
      <c r="AY24" s="106" t="s">
        <v>90</v>
      </c>
      <c r="AZ24" s="106" t="s">
        <v>91</v>
      </c>
      <c r="BA24" s="106" t="s">
        <v>92</v>
      </c>
      <c r="BB24" s="106" t="s">
        <v>93</v>
      </c>
      <c r="BC24" s="106" t="s">
        <v>94</v>
      </c>
      <c r="BD24" s="106" t="s">
        <v>95</v>
      </c>
      <c r="BE24" s="106" t="s">
        <v>96</v>
      </c>
      <c r="BF24" s="106" t="s">
        <v>97</v>
      </c>
      <c r="BG24" s="106" t="s">
        <v>98</v>
      </c>
      <c r="BH24" s="106" t="s">
        <v>99</v>
      </c>
      <c r="BI24" s="106" t="s">
        <v>100</v>
      </c>
      <c r="BJ24" s="106" t="s">
        <v>101</v>
      </c>
      <c r="BK24" s="106" t="s">
        <v>102</v>
      </c>
      <c r="BL24" s="106" t="s">
        <v>103</v>
      </c>
      <c r="BM24" s="106" t="s">
        <v>104</v>
      </c>
      <c r="BN24" s="106" t="s">
        <v>105</v>
      </c>
      <c r="BO24" s="106" t="str">
        <f>BO5</f>
        <v>1 кв. 2023</v>
      </c>
      <c r="BP24" s="106" t="str">
        <f t="shared" ref="BP24:BQ24" si="2">BP5</f>
        <v>2 кв. 2023</v>
      </c>
      <c r="BQ24" s="106" t="str">
        <f t="shared" si="2"/>
        <v>3 кв. 2023</v>
      </c>
      <c r="BR24" s="106" t="s">
        <v>106</v>
      </c>
      <c r="BS24" s="106" t="s">
        <v>107</v>
      </c>
      <c r="BT24" s="106" t="s">
        <v>277</v>
      </c>
      <c r="BU24" s="106" t="s">
        <v>285</v>
      </c>
      <c r="BV24" s="106" t="s">
        <v>286</v>
      </c>
      <c r="BW24" s="106" t="s">
        <v>297</v>
      </c>
      <c r="BX24" s="106" t="s">
        <v>299</v>
      </c>
      <c r="BY24" s="106" t="s">
        <v>309</v>
      </c>
      <c r="BZ24" s="106" t="s">
        <v>310</v>
      </c>
      <c r="CA24" s="106" t="s">
        <v>324</v>
      </c>
    </row>
    <row r="25" spans="1:79" x14ac:dyDescent="0.2">
      <c r="A25" s="4" t="s">
        <v>41</v>
      </c>
      <c r="B25" s="6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8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8"/>
      <c r="BL25" s="8"/>
      <c r="BM25" s="8"/>
      <c r="BT25" s="5"/>
      <c r="BU25" s="5"/>
    </row>
    <row r="26" spans="1:79" x14ac:dyDescent="0.2">
      <c r="A26" s="26" t="s">
        <v>57</v>
      </c>
      <c r="B26" s="6" t="s">
        <v>34</v>
      </c>
      <c r="C26" s="27">
        <f>SUM(S26:V26)</f>
        <v>18306</v>
      </c>
      <c r="D26" s="27">
        <f>SUM(W26:Z26)</f>
        <v>23739</v>
      </c>
      <c r="E26" s="27">
        <f>SUM(AA26:AD26)</f>
        <v>30227</v>
      </c>
      <c r="F26" s="27">
        <f>SUM(AE26:AH26)</f>
        <v>39961</v>
      </c>
      <c r="G26" s="27">
        <f>SUM(AI26:AL26)</f>
        <v>35080</v>
      </c>
      <c r="H26" s="27">
        <f>SUM(AM26:AP26)</f>
        <v>47444</v>
      </c>
      <c r="I26" s="27">
        <f>SUM(AQ26:AT26)</f>
        <v>50240</v>
      </c>
      <c r="J26" s="27">
        <f t="shared" ref="J26:J32" si="3">SUM(AU26:AX26)</f>
        <v>68731.252889259995</v>
      </c>
      <c r="K26" s="27">
        <f t="shared" ref="K26:K32" si="4">SUM(AY26:BB26)</f>
        <v>77627.406625240008</v>
      </c>
      <c r="L26" s="27">
        <f t="shared" ref="L26:L32" si="5">SUM(BC26:BF26)</f>
        <v>79922.186658060004</v>
      </c>
      <c r="M26" s="27">
        <f t="shared" ref="M26:M32" si="6">SUM(BG26:BJ26)</f>
        <v>84387.99390999999</v>
      </c>
      <c r="N26" s="27">
        <f>SUM(BK26:BN26)</f>
        <v>58652</v>
      </c>
      <c r="O26" s="27">
        <f t="shared" ref="O26:O33" si="7">SUM(BO26:BR26)</f>
        <v>105563.58845944001</v>
      </c>
      <c r="P26" s="27">
        <f>SUM(BS26:BV26)</f>
        <v>146241</v>
      </c>
      <c r="Q26" s="27">
        <f>SUM(BW26:BZ26)</f>
        <v>153538.43844214</v>
      </c>
      <c r="R26" s="26"/>
      <c r="S26" s="27">
        <v>4158</v>
      </c>
      <c r="T26" s="27">
        <v>3781</v>
      </c>
      <c r="U26" s="27">
        <v>4336</v>
      </c>
      <c r="V26" s="27">
        <v>6031</v>
      </c>
      <c r="W26" s="27">
        <v>5566</v>
      </c>
      <c r="X26" s="27">
        <v>5195</v>
      </c>
      <c r="Y26" s="27">
        <v>5563</v>
      </c>
      <c r="Z26" s="27">
        <v>7415</v>
      </c>
      <c r="AA26" s="27">
        <v>5923</v>
      </c>
      <c r="AB26" s="27">
        <v>6746</v>
      </c>
      <c r="AC26" s="27">
        <v>8152</v>
      </c>
      <c r="AD26" s="27">
        <v>9406</v>
      </c>
      <c r="AE26" s="27">
        <v>9077</v>
      </c>
      <c r="AF26" s="27">
        <v>8095</v>
      </c>
      <c r="AG26" s="27">
        <v>9480</v>
      </c>
      <c r="AH26" s="27">
        <v>13309</v>
      </c>
      <c r="AI26" s="27">
        <v>3804</v>
      </c>
      <c r="AJ26" s="27">
        <v>4110</v>
      </c>
      <c r="AK26" s="27">
        <v>11392</v>
      </c>
      <c r="AL26" s="27">
        <v>15774</v>
      </c>
      <c r="AM26" s="27">
        <v>12860</v>
      </c>
      <c r="AN26" s="27">
        <v>10284</v>
      </c>
      <c r="AO26" s="27">
        <v>10575</v>
      </c>
      <c r="AP26" s="27">
        <v>13725</v>
      </c>
      <c r="AQ26" s="27">
        <v>10248</v>
      </c>
      <c r="AR26" s="27">
        <v>11346</v>
      </c>
      <c r="AS26" s="27">
        <v>11970</v>
      </c>
      <c r="AT26" s="27">
        <v>16676</v>
      </c>
      <c r="AU26" s="27">
        <v>13605.154832299999</v>
      </c>
      <c r="AV26" s="27">
        <v>13881.61159593</v>
      </c>
      <c r="AW26" s="27">
        <v>16798.903380110001</v>
      </c>
      <c r="AX26" s="27">
        <v>24445.583080919998</v>
      </c>
      <c r="AY26" s="27">
        <f t="shared" ref="AY26:BH26" si="8">SUM(AY27:AY28)</f>
        <v>19952.326535440006</v>
      </c>
      <c r="AZ26" s="27">
        <f t="shared" si="8"/>
        <v>18782.154632409998</v>
      </c>
      <c r="BA26" s="27">
        <f t="shared" si="8"/>
        <v>17098.350112380002</v>
      </c>
      <c r="BB26" s="27">
        <f t="shared" si="8"/>
        <v>21794.575345010002</v>
      </c>
      <c r="BC26" s="27">
        <f t="shared" si="8"/>
        <v>17936.319567000002</v>
      </c>
      <c r="BD26" s="27">
        <f t="shared" si="8"/>
        <v>11585.362794000001</v>
      </c>
      <c r="BE26" s="27">
        <f t="shared" si="8"/>
        <v>23982.568796</v>
      </c>
      <c r="BF26" s="27">
        <f t="shared" si="8"/>
        <v>26417.935501059997</v>
      </c>
      <c r="BG26" s="27">
        <f t="shared" si="8"/>
        <v>16214.395377000001</v>
      </c>
      <c r="BH26" s="27">
        <f t="shared" si="8"/>
        <v>24932.598532999997</v>
      </c>
      <c r="BI26" s="28">
        <v>18390</v>
      </c>
      <c r="BJ26" s="28">
        <v>24851</v>
      </c>
      <c r="BK26" s="28">
        <v>19681</v>
      </c>
      <c r="BL26" s="28">
        <v>9638</v>
      </c>
      <c r="BM26" s="28">
        <v>13329</v>
      </c>
      <c r="BN26" s="63">
        <v>16004</v>
      </c>
      <c r="BO26" s="63">
        <f>BO7</f>
        <v>13436.384795000002</v>
      </c>
      <c r="BP26" s="63">
        <f t="shared" ref="BP26:BR26" si="9">BP7</f>
        <v>20566.103885999997</v>
      </c>
      <c r="BQ26" s="63">
        <f t="shared" si="9"/>
        <v>31169.099778440002</v>
      </c>
      <c r="BR26" s="63">
        <f t="shared" si="9"/>
        <v>40392</v>
      </c>
      <c r="BS26" s="63">
        <v>40965</v>
      </c>
      <c r="BT26" s="63">
        <v>37627</v>
      </c>
      <c r="BU26" s="63">
        <f>36948</f>
        <v>36948</v>
      </c>
      <c r="BV26" s="63">
        <f>30701</f>
        <v>30701</v>
      </c>
      <c r="BW26" s="63">
        <v>37377.266451999996</v>
      </c>
      <c r="BX26" s="63">
        <v>24823.707968999999</v>
      </c>
      <c r="BY26" s="63">
        <v>46854.62423406</v>
      </c>
      <c r="BZ26" s="63">
        <v>44482.839787079996</v>
      </c>
      <c r="CA26" s="63">
        <v>24652.917299000001</v>
      </c>
    </row>
    <row r="27" spans="1:79" x14ac:dyDescent="0.2">
      <c r="A27" s="21" t="s">
        <v>111</v>
      </c>
      <c r="B27" s="6" t="s">
        <v>34</v>
      </c>
      <c r="C27" s="20"/>
      <c r="D27" s="20"/>
      <c r="E27" s="20"/>
      <c r="F27" s="20"/>
      <c r="G27" s="20"/>
      <c r="H27" s="20"/>
      <c r="I27" s="20"/>
      <c r="J27" s="20">
        <f t="shared" si="3"/>
        <v>34266</v>
      </c>
      <c r="K27" s="20">
        <f t="shared" si="4"/>
        <v>43180.279834750007</v>
      </c>
      <c r="L27" s="20">
        <f t="shared" si="5"/>
        <v>46743.44769406</v>
      </c>
      <c r="M27" s="20">
        <f t="shared" si="6"/>
        <v>54052.761195999999</v>
      </c>
      <c r="N27" s="20">
        <f t="shared" ref="N27:N50" si="10">SUM(BK27:BN27)</f>
        <v>32296</v>
      </c>
      <c r="O27" s="20">
        <f t="shared" si="7"/>
        <v>58068.222750470006</v>
      </c>
      <c r="P27" s="20">
        <f t="shared" ref="P27:P33" si="11">SUM(BS27:BV27)</f>
        <v>74735.384345999992</v>
      </c>
      <c r="Q27" s="20">
        <f t="shared" ref="Q27:Q51" si="12">SUM(BW27:BZ27)</f>
        <v>91550.64773348</v>
      </c>
      <c r="R27" s="8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>
        <v>6342</v>
      </c>
      <c r="AV27" s="20">
        <v>6671</v>
      </c>
      <c r="AW27" s="20">
        <v>8453</v>
      </c>
      <c r="AX27" s="20">
        <v>12800</v>
      </c>
      <c r="AY27" s="20">
        <v>11601.924496440004</v>
      </c>
      <c r="AZ27" s="20">
        <v>10877.05207541</v>
      </c>
      <c r="BA27" s="20">
        <v>10050.512491379999</v>
      </c>
      <c r="BB27" s="20">
        <v>10650.79077152</v>
      </c>
      <c r="BC27" s="20">
        <v>10141.073105000001</v>
      </c>
      <c r="BD27" s="20">
        <v>5745.7992039999999</v>
      </c>
      <c r="BE27" s="20">
        <v>15541.945221000002</v>
      </c>
      <c r="BF27" s="20">
        <v>15314.63016406</v>
      </c>
      <c r="BG27" s="20">
        <v>9450.5745100000004</v>
      </c>
      <c r="BH27" s="20">
        <v>18431.186685999997</v>
      </c>
      <c r="BI27" s="19">
        <v>11303</v>
      </c>
      <c r="BJ27" s="19">
        <v>14868</v>
      </c>
      <c r="BK27" s="19">
        <v>11793</v>
      </c>
      <c r="BL27" s="19">
        <v>5720</v>
      </c>
      <c r="BM27" s="19">
        <v>7100</v>
      </c>
      <c r="BN27" s="19">
        <v>7683</v>
      </c>
      <c r="BO27" s="19">
        <v>7136.6284859999996</v>
      </c>
      <c r="BP27" s="19">
        <v>10352.425899</v>
      </c>
      <c r="BQ27" s="19">
        <v>18168.306126470001</v>
      </c>
      <c r="BR27" s="19">
        <v>22410.862239000002</v>
      </c>
      <c r="BS27" s="19">
        <v>26513.054758999999</v>
      </c>
      <c r="BT27" s="19">
        <v>17573.646098999998</v>
      </c>
      <c r="BU27" s="19">
        <v>17475.174886000001</v>
      </c>
      <c r="BV27" s="19">
        <v>13173.508602</v>
      </c>
      <c r="BW27" s="19">
        <v>19151.611603999998</v>
      </c>
      <c r="BX27" s="19">
        <v>11600.270501000001</v>
      </c>
      <c r="BY27" s="19">
        <v>30047.767380400001</v>
      </c>
      <c r="BZ27" s="19">
        <v>30750.998248079999</v>
      </c>
      <c r="CA27" s="19">
        <v>14134.029732999999</v>
      </c>
    </row>
    <row r="28" spans="1:79" x14ac:dyDescent="0.2">
      <c r="A28" s="21" t="s">
        <v>112</v>
      </c>
      <c r="B28" s="6" t="s">
        <v>34</v>
      </c>
      <c r="C28" s="20"/>
      <c r="D28" s="20"/>
      <c r="E28" s="20"/>
      <c r="F28" s="20"/>
      <c r="G28" s="20"/>
      <c r="H28" s="20"/>
      <c r="I28" s="20"/>
      <c r="J28" s="20">
        <f t="shared" si="3"/>
        <v>34465</v>
      </c>
      <c r="K28" s="20">
        <f t="shared" si="4"/>
        <v>34447.126790490001</v>
      </c>
      <c r="L28" s="20">
        <f t="shared" si="5"/>
        <v>33178.738963999996</v>
      </c>
      <c r="M28" s="20">
        <f t="shared" si="6"/>
        <v>30335.232713999998</v>
      </c>
      <c r="N28" s="20">
        <f t="shared" si="10"/>
        <v>20944</v>
      </c>
      <c r="O28" s="20">
        <f t="shared" si="7"/>
        <v>23739.191398449999</v>
      </c>
      <c r="P28" s="20">
        <f t="shared" si="11"/>
        <v>40829</v>
      </c>
      <c r="Q28" s="20">
        <f t="shared" si="12"/>
        <v>39224.5151023</v>
      </c>
      <c r="R28" s="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>
        <v>7264</v>
      </c>
      <c r="AV28" s="20">
        <v>7210</v>
      </c>
      <c r="AW28" s="20">
        <v>8346</v>
      </c>
      <c r="AX28" s="20">
        <v>11645</v>
      </c>
      <c r="AY28" s="20">
        <v>8350.4020390000005</v>
      </c>
      <c r="AZ28" s="20">
        <v>7905.1025570000002</v>
      </c>
      <c r="BA28" s="20">
        <v>7047.8376210000006</v>
      </c>
      <c r="BB28" s="20">
        <v>11143.78457349</v>
      </c>
      <c r="BC28" s="20">
        <v>7795.2464620000001</v>
      </c>
      <c r="BD28" s="20">
        <v>5839.5635899999997</v>
      </c>
      <c r="BE28" s="20">
        <v>8440.6235749999996</v>
      </c>
      <c r="BF28" s="20">
        <v>11103.305337</v>
      </c>
      <c r="BG28" s="20">
        <v>6763.8208670000004</v>
      </c>
      <c r="BH28" s="20">
        <v>6501.4118469999994</v>
      </c>
      <c r="BI28" s="19">
        <v>7088</v>
      </c>
      <c r="BJ28" s="19">
        <v>9982</v>
      </c>
      <c r="BK28" s="19">
        <v>7888</v>
      </c>
      <c r="BL28" s="19">
        <v>3535</v>
      </c>
      <c r="BM28" s="19">
        <v>4482</v>
      </c>
      <c r="BN28" s="62">
        <v>5039</v>
      </c>
      <c r="BO28" s="19">
        <v>3360.8110019999999</v>
      </c>
      <c r="BP28" s="19">
        <v>6149.3626540000005</v>
      </c>
      <c r="BQ28" s="19">
        <v>6468.3942924499997</v>
      </c>
      <c r="BR28" s="19">
        <v>7760.6234499999991</v>
      </c>
      <c r="BS28" s="19">
        <v>6888</v>
      </c>
      <c r="BT28" s="19">
        <v>10366</v>
      </c>
      <c r="BU28" s="19">
        <f>12045</f>
        <v>12045</v>
      </c>
      <c r="BV28" s="19">
        <f>11530</f>
        <v>11530</v>
      </c>
      <c r="BW28" s="19">
        <v>11917.705325999999</v>
      </c>
      <c r="BX28" s="19">
        <v>8085.7780129999992</v>
      </c>
      <c r="BY28" s="19">
        <v>11528.170544299999</v>
      </c>
      <c r="BZ28" s="19">
        <v>7692.8612189999994</v>
      </c>
      <c r="CA28" s="19">
        <v>5453.2689520000004</v>
      </c>
    </row>
    <row r="29" spans="1:79" x14ac:dyDescent="0.2">
      <c r="A29" s="21" t="s">
        <v>113</v>
      </c>
      <c r="B29" s="6" t="s">
        <v>34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>
        <f>SUM(BK29:BN29)</f>
        <v>5412</v>
      </c>
      <c r="O29" s="20">
        <f t="shared" si="7"/>
        <v>23756.383300519999</v>
      </c>
      <c r="P29" s="20">
        <f t="shared" si="11"/>
        <v>30677</v>
      </c>
      <c r="Q29" s="20">
        <f t="shared" si="12"/>
        <v>22763.275606359999</v>
      </c>
      <c r="R29" s="8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19"/>
      <c r="BJ29" s="19"/>
      <c r="BK29" s="19"/>
      <c r="BL29" s="19">
        <v>383</v>
      </c>
      <c r="BM29" s="19">
        <v>1747</v>
      </c>
      <c r="BN29" s="19">
        <v>3282</v>
      </c>
      <c r="BO29" s="19">
        <v>2938.9453070000004</v>
      </c>
      <c r="BP29" s="19">
        <v>4064.3153329999996</v>
      </c>
      <c r="BQ29" s="19">
        <v>6532.3993595200009</v>
      </c>
      <c r="BR29" s="19">
        <v>10220.723301</v>
      </c>
      <c r="BS29" s="19">
        <v>7564</v>
      </c>
      <c r="BT29" s="19">
        <v>9687</v>
      </c>
      <c r="BU29" s="19">
        <f>7428</f>
        <v>7428</v>
      </c>
      <c r="BV29" s="19">
        <f>5998</f>
        <v>5998</v>
      </c>
      <c r="BW29" s="19">
        <v>6307.9495219999999</v>
      </c>
      <c r="BX29" s="19">
        <v>5137.659455</v>
      </c>
      <c r="BY29" s="19">
        <v>5278.6863093599995</v>
      </c>
      <c r="BZ29" s="19">
        <v>6038.9803199999997</v>
      </c>
      <c r="CA29" s="19">
        <v>5065.618614</v>
      </c>
    </row>
    <row r="30" spans="1:79" x14ac:dyDescent="0.2">
      <c r="A30" s="26" t="s">
        <v>42</v>
      </c>
      <c r="B30" s="6" t="s">
        <v>34</v>
      </c>
      <c r="C30" s="27"/>
      <c r="D30" s="27"/>
      <c r="E30" s="27">
        <f>SUM(AA30:AD30)</f>
        <v>26073</v>
      </c>
      <c r="F30" s="27">
        <f>SUM(AE30:AH30)</f>
        <v>35335</v>
      </c>
      <c r="G30" s="27">
        <f>SUM(AI30:AL30)</f>
        <v>25845</v>
      </c>
      <c r="H30" s="27">
        <f>SUM(AM30:AP30)</f>
        <v>39723.422637700001</v>
      </c>
      <c r="I30" s="27">
        <f>SUM(AQ30:AT30)</f>
        <v>46147</v>
      </c>
      <c r="J30" s="27">
        <f t="shared" si="3"/>
        <v>62785.436452919996</v>
      </c>
      <c r="K30" s="27">
        <f t="shared" si="4"/>
        <v>77713.387916539999</v>
      </c>
      <c r="L30" s="27">
        <f t="shared" si="5"/>
        <v>81985.030014119999</v>
      </c>
      <c r="M30" s="27">
        <f t="shared" si="6"/>
        <v>84093.78253756999</v>
      </c>
      <c r="N30" s="27">
        <f t="shared" si="10"/>
        <v>50386</v>
      </c>
      <c r="O30" s="27">
        <f t="shared" si="7"/>
        <v>82107.948539289995</v>
      </c>
      <c r="P30" s="27">
        <f t="shared" si="11"/>
        <v>95575.0591441</v>
      </c>
      <c r="Q30" s="27">
        <f t="shared" si="12"/>
        <v>100507.14710748001</v>
      </c>
      <c r="R30" s="26"/>
      <c r="S30" s="27"/>
      <c r="T30" s="27"/>
      <c r="U30" s="27"/>
      <c r="V30" s="27"/>
      <c r="W30" s="27"/>
      <c r="X30" s="27"/>
      <c r="Y30" s="27"/>
      <c r="Z30" s="27"/>
      <c r="AA30" s="27">
        <v>5237</v>
      </c>
      <c r="AB30" s="27">
        <v>5703</v>
      </c>
      <c r="AC30" s="27">
        <v>6769</v>
      </c>
      <c r="AD30" s="27">
        <v>8364</v>
      </c>
      <c r="AE30" s="27">
        <v>9088</v>
      </c>
      <c r="AF30" s="27">
        <v>5747</v>
      </c>
      <c r="AG30" s="27">
        <v>9012</v>
      </c>
      <c r="AH30" s="27">
        <v>11488</v>
      </c>
      <c r="AI30" s="27">
        <v>6003</v>
      </c>
      <c r="AJ30" s="27">
        <v>4412</v>
      </c>
      <c r="AK30" s="27">
        <v>5798</v>
      </c>
      <c r="AL30" s="27">
        <v>9632</v>
      </c>
      <c r="AM30" s="27">
        <v>10570.772917070002</v>
      </c>
      <c r="AN30" s="27">
        <v>9286</v>
      </c>
      <c r="AO30" s="27">
        <v>8743.8683072799995</v>
      </c>
      <c r="AP30" s="27">
        <v>11122.78141335</v>
      </c>
      <c r="AQ30" s="27">
        <v>9714</v>
      </c>
      <c r="AR30" s="27">
        <v>9283</v>
      </c>
      <c r="AS30" s="27">
        <v>12433</v>
      </c>
      <c r="AT30" s="27">
        <v>14717</v>
      </c>
      <c r="AU30" s="27">
        <v>12777.758215059999</v>
      </c>
      <c r="AV30" s="27">
        <v>14693.6143854</v>
      </c>
      <c r="AW30" s="27">
        <v>15010.584524129999</v>
      </c>
      <c r="AX30" s="27">
        <v>20303.479328329999</v>
      </c>
      <c r="AY30" s="27">
        <f t="shared" ref="AY30:BF30" si="13">SUM(AY31:AY32)</f>
        <v>23631.847321820002</v>
      </c>
      <c r="AZ30" s="27">
        <f t="shared" si="13"/>
        <v>19176.827587320004</v>
      </c>
      <c r="BA30" s="27">
        <f t="shared" si="13"/>
        <v>16114.074190340001</v>
      </c>
      <c r="BB30" s="27">
        <f t="shared" si="13"/>
        <v>18790.638817060004</v>
      </c>
      <c r="BC30" s="27">
        <f t="shared" si="13"/>
        <v>17604.427967750002</v>
      </c>
      <c r="BD30" s="27">
        <f t="shared" si="13"/>
        <v>13942.190508559997</v>
      </c>
      <c r="BE30" s="27">
        <f t="shared" si="13"/>
        <v>21235.062525180001</v>
      </c>
      <c r="BF30" s="27">
        <f t="shared" si="13"/>
        <v>29203.349012630002</v>
      </c>
      <c r="BG30" s="28">
        <f>SUM(BG31:BG32)</f>
        <v>18036.233013270001</v>
      </c>
      <c r="BH30" s="28">
        <f>SUM(BH31:BH32)</f>
        <v>22852.549524299997</v>
      </c>
      <c r="BI30" s="28">
        <v>19308</v>
      </c>
      <c r="BJ30" s="28">
        <v>23897</v>
      </c>
      <c r="BK30" s="28">
        <v>21235</v>
      </c>
      <c r="BL30" s="28">
        <v>11402</v>
      </c>
      <c r="BM30" s="28">
        <v>1170</v>
      </c>
      <c r="BN30" s="63">
        <v>16579</v>
      </c>
      <c r="BO30" s="63">
        <f>BO8</f>
        <v>12000.56727009</v>
      </c>
      <c r="BP30" s="63">
        <f t="shared" ref="BP30:BR30" si="14">BP8</f>
        <v>16208.977656510002</v>
      </c>
      <c r="BQ30" s="63">
        <f t="shared" si="14"/>
        <v>24684.403612690003</v>
      </c>
      <c r="BR30" s="63">
        <f t="shared" si="14"/>
        <v>29214</v>
      </c>
      <c r="BS30" s="63">
        <v>21587.418372629996</v>
      </c>
      <c r="BT30" s="63">
        <v>27201.23845058</v>
      </c>
      <c r="BU30" s="63">
        <v>24560.283543609999</v>
      </c>
      <c r="BV30" s="63">
        <v>22226.11877728</v>
      </c>
      <c r="BW30" s="63">
        <v>18095.799608189998</v>
      </c>
      <c r="BX30" s="63">
        <v>21529.7318877</v>
      </c>
      <c r="BY30" s="63">
        <v>20125.11124708</v>
      </c>
      <c r="BZ30" s="63">
        <v>40756.504364510009</v>
      </c>
      <c r="CA30" s="63">
        <v>26599.437029380006</v>
      </c>
    </row>
    <row r="31" spans="1:79" x14ac:dyDescent="0.2">
      <c r="A31" s="21" t="s">
        <v>111</v>
      </c>
      <c r="B31" s="6" t="s">
        <v>34</v>
      </c>
      <c r="C31" s="20"/>
      <c r="D31" s="20"/>
      <c r="E31" s="20"/>
      <c r="F31" s="20"/>
      <c r="G31" s="20"/>
      <c r="H31" s="20"/>
      <c r="I31" s="20"/>
      <c r="J31" s="20">
        <f t="shared" si="3"/>
        <v>31104</v>
      </c>
      <c r="K31" s="20">
        <f t="shared" si="4"/>
        <v>45656.239232670006</v>
      </c>
      <c r="L31" s="20">
        <f t="shared" si="5"/>
        <v>48673.272599920005</v>
      </c>
      <c r="M31" s="20">
        <f t="shared" si="6"/>
        <v>52435.787770880001</v>
      </c>
      <c r="N31" s="20">
        <f t="shared" si="10"/>
        <v>31501</v>
      </c>
      <c r="O31" s="20">
        <f t="shared" si="7"/>
        <v>41954.12411212</v>
      </c>
      <c r="P31" s="20">
        <f t="shared" si="11"/>
        <v>42490.069317759997</v>
      </c>
      <c r="Q31" s="20">
        <f>SUM(BW31:BZ31)</f>
        <v>53846.915714030001</v>
      </c>
      <c r="R31" s="8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>
        <v>6243</v>
      </c>
      <c r="AV31" s="20">
        <v>6641</v>
      </c>
      <c r="AW31" s="20">
        <v>7312</v>
      </c>
      <c r="AX31" s="20">
        <v>10908</v>
      </c>
      <c r="AY31" s="20">
        <v>14262.318003740002</v>
      </c>
      <c r="AZ31" s="20">
        <v>11768.061539420001</v>
      </c>
      <c r="BA31" s="20">
        <v>9737.9950076300011</v>
      </c>
      <c r="BB31" s="20">
        <v>9887.8646818800007</v>
      </c>
      <c r="BC31" s="20">
        <v>9323.5371594600001</v>
      </c>
      <c r="BD31" s="20">
        <v>7176.1069611499988</v>
      </c>
      <c r="BE31" s="20">
        <v>13737.299425159999</v>
      </c>
      <c r="BF31" s="20">
        <v>18436.329054150003</v>
      </c>
      <c r="BG31" s="19">
        <v>9861.0000419499993</v>
      </c>
      <c r="BH31" s="19">
        <v>16624.034578929997</v>
      </c>
      <c r="BI31" s="19">
        <v>11832.28983</v>
      </c>
      <c r="BJ31" s="19">
        <v>14118.463320000001</v>
      </c>
      <c r="BK31" s="19">
        <v>11609</v>
      </c>
      <c r="BL31" s="19">
        <v>6800</v>
      </c>
      <c r="BM31" s="19">
        <v>5405</v>
      </c>
      <c r="BN31" s="62">
        <v>7687</v>
      </c>
      <c r="BO31" s="19">
        <v>5822.5120402499997</v>
      </c>
      <c r="BP31" s="19">
        <v>7857.4142038400005</v>
      </c>
      <c r="BQ31" s="19">
        <v>13206.448385120002</v>
      </c>
      <c r="BR31" s="19">
        <v>15067.749482909998</v>
      </c>
      <c r="BS31" s="19">
        <v>11166.96979865</v>
      </c>
      <c r="BT31" s="19">
        <v>11766.929140209999</v>
      </c>
      <c r="BU31" s="19">
        <v>10531.3192963</v>
      </c>
      <c r="BV31" s="19">
        <v>9024.8510825999983</v>
      </c>
      <c r="BW31" s="19">
        <v>5861.6219119000007</v>
      </c>
      <c r="BX31" s="19">
        <v>9180.7512245800008</v>
      </c>
      <c r="BY31" s="19">
        <v>8930.84980034</v>
      </c>
      <c r="BZ31" s="19">
        <v>29873.692777210003</v>
      </c>
      <c r="CA31" s="19">
        <v>16676.736739630003</v>
      </c>
    </row>
    <row r="32" spans="1:79" x14ac:dyDescent="0.2">
      <c r="A32" s="21" t="s">
        <v>112</v>
      </c>
      <c r="B32" s="6" t="s">
        <v>34</v>
      </c>
      <c r="C32" s="20"/>
      <c r="D32" s="20"/>
      <c r="E32" s="20"/>
      <c r="F32" s="20"/>
      <c r="G32" s="20"/>
      <c r="H32" s="20"/>
      <c r="I32" s="20"/>
      <c r="J32" s="20">
        <f t="shared" si="3"/>
        <v>31683</v>
      </c>
      <c r="K32" s="20">
        <f t="shared" si="4"/>
        <v>32057.14868387</v>
      </c>
      <c r="L32" s="20">
        <f t="shared" si="5"/>
        <v>33311.757414200001</v>
      </c>
      <c r="M32" s="20">
        <f t="shared" si="6"/>
        <v>31657.747916690001</v>
      </c>
      <c r="N32" s="20">
        <f t="shared" si="10"/>
        <v>24205</v>
      </c>
      <c r="O32" s="20">
        <f t="shared" si="7"/>
        <v>20422.653538030001</v>
      </c>
      <c r="P32" s="20">
        <f>SUM(BS32:BV32)</f>
        <v>30528.600168420002</v>
      </c>
      <c r="Q32" s="20">
        <f t="shared" si="12"/>
        <v>28659.850397079994</v>
      </c>
      <c r="R32" s="8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>
        <v>6535</v>
      </c>
      <c r="AV32" s="20">
        <v>8053</v>
      </c>
      <c r="AW32" s="20">
        <v>7699</v>
      </c>
      <c r="AX32" s="20">
        <v>9396</v>
      </c>
      <c r="AY32" s="20">
        <v>9369.5293180799999</v>
      </c>
      <c r="AZ32" s="20">
        <v>7408.7660479000006</v>
      </c>
      <c r="BA32" s="20">
        <v>6376.0791827100002</v>
      </c>
      <c r="BB32" s="20">
        <v>8902.7741351800014</v>
      </c>
      <c r="BC32" s="20">
        <v>8280.8908082900016</v>
      </c>
      <c r="BD32" s="20">
        <v>6766.0835474099995</v>
      </c>
      <c r="BE32" s="20">
        <v>7497.7631000200008</v>
      </c>
      <c r="BF32" s="20">
        <v>10767.019958479999</v>
      </c>
      <c r="BG32" s="19">
        <v>8175.2329713199997</v>
      </c>
      <c r="BH32" s="19">
        <v>6228.5149453699996</v>
      </c>
      <c r="BI32" s="19">
        <v>7475</v>
      </c>
      <c r="BJ32" s="19">
        <v>9779</v>
      </c>
      <c r="BK32" s="19">
        <v>9627</v>
      </c>
      <c r="BL32" s="19">
        <v>4303</v>
      </c>
      <c r="BM32" s="19">
        <v>4354</v>
      </c>
      <c r="BN32" s="62">
        <v>5921</v>
      </c>
      <c r="BO32" s="19">
        <v>3199.9154398100004</v>
      </c>
      <c r="BP32" s="19">
        <v>4853.0675351399996</v>
      </c>
      <c r="BQ32" s="19">
        <v>6064.5328054000001</v>
      </c>
      <c r="BR32" s="19">
        <v>6305.1377576800005</v>
      </c>
      <c r="BS32" s="19">
        <v>5511.3248675799987</v>
      </c>
      <c r="BT32" s="19">
        <v>8532.2948402500006</v>
      </c>
      <c r="BU32" s="19">
        <v>7848.1382900600001</v>
      </c>
      <c r="BV32" s="19">
        <v>8636.8421705300007</v>
      </c>
      <c r="BW32" s="19">
        <v>8572.5435380899999</v>
      </c>
      <c r="BX32" s="19">
        <v>7953.5139697300001</v>
      </c>
      <c r="BY32" s="19">
        <v>6612.4236082299994</v>
      </c>
      <c r="BZ32" s="19">
        <v>5521.3692810299999</v>
      </c>
      <c r="CA32" s="19">
        <v>5713.3439448499994</v>
      </c>
    </row>
    <row r="33" spans="1:79" x14ac:dyDescent="0.2">
      <c r="A33" s="21" t="s">
        <v>113</v>
      </c>
      <c r="B33" s="6" t="s">
        <v>34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>
        <f>SUM(BK33:BN33)</f>
        <v>4679</v>
      </c>
      <c r="O33" s="20">
        <f t="shared" si="7"/>
        <v>19730.795129850001</v>
      </c>
      <c r="P33" s="20">
        <f t="shared" si="11"/>
        <v>22556.389657919997</v>
      </c>
      <c r="Q33" s="20">
        <f t="shared" si="12"/>
        <v>18000.380996370001</v>
      </c>
      <c r="R33" s="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19"/>
      <c r="BH33" s="19"/>
      <c r="BI33" s="19"/>
      <c r="BJ33" s="19"/>
      <c r="BK33" s="19"/>
      <c r="BL33" s="19">
        <v>299</v>
      </c>
      <c r="BM33" s="19">
        <v>1410</v>
      </c>
      <c r="BN33" s="62">
        <v>2970</v>
      </c>
      <c r="BO33" s="19">
        <v>2978.1397900299999</v>
      </c>
      <c r="BP33" s="19">
        <v>3498.49591753</v>
      </c>
      <c r="BQ33" s="19">
        <v>5413.4224221700006</v>
      </c>
      <c r="BR33" s="19">
        <v>7840.7370001199997</v>
      </c>
      <c r="BS33" s="19">
        <v>4909.1237063999997</v>
      </c>
      <c r="BT33" s="19">
        <v>6902.0144701199997</v>
      </c>
      <c r="BU33" s="19">
        <v>6180.8259572500001</v>
      </c>
      <c r="BV33" s="19">
        <v>4564.4255241500005</v>
      </c>
      <c r="BW33" s="19">
        <v>3661.6341582</v>
      </c>
      <c r="BX33" s="19">
        <v>4395.4666933900007</v>
      </c>
      <c r="BY33" s="19">
        <v>4581.8378385100004</v>
      </c>
      <c r="BZ33" s="19">
        <v>5361.4423062699989</v>
      </c>
      <c r="CA33" s="19">
        <v>4209.3563449000003</v>
      </c>
    </row>
    <row r="34" spans="1:79" x14ac:dyDescent="0.2">
      <c r="A34" s="26" t="s">
        <v>43</v>
      </c>
      <c r="B34" s="6" t="s">
        <v>35</v>
      </c>
      <c r="C34" s="27">
        <v>67797</v>
      </c>
      <c r="D34" s="27">
        <v>75013</v>
      </c>
      <c r="E34" s="27">
        <v>84889</v>
      </c>
      <c r="F34" s="27">
        <v>87431</v>
      </c>
      <c r="G34" s="27">
        <v>91057.20360523343</v>
      </c>
      <c r="H34" s="27">
        <v>95649.762108517345</v>
      </c>
      <c r="I34" s="27">
        <v>98094.123288225688</v>
      </c>
      <c r="J34" s="27">
        <v>109445.30457033213</v>
      </c>
      <c r="K34" s="27">
        <v>123140.09552653086</v>
      </c>
      <c r="L34" s="27">
        <v>148500.69067665632</v>
      </c>
      <c r="M34" s="27">
        <v>189008.00940000001</v>
      </c>
      <c r="N34" s="27">
        <f>AVERAGE(BK34:BN34)</f>
        <v>198413</v>
      </c>
      <c r="O34" s="27">
        <f t="shared" ref="O34:Q35" si="15">O26/O44*1000000</f>
        <v>192903.66068748999</v>
      </c>
      <c r="P34" s="27">
        <f t="shared" si="15"/>
        <v>208927.92463056667</v>
      </c>
      <c r="Q34" s="27">
        <f t="shared" si="15"/>
        <v>228671.545909601</v>
      </c>
      <c r="R34" s="26"/>
      <c r="S34" s="27">
        <v>69721</v>
      </c>
      <c r="T34" s="27">
        <v>60453</v>
      </c>
      <c r="U34" s="27">
        <v>68030</v>
      </c>
      <c r="V34" s="27">
        <v>71718</v>
      </c>
      <c r="W34" s="27">
        <v>71611</v>
      </c>
      <c r="X34" s="27">
        <v>75120</v>
      </c>
      <c r="Y34" s="27">
        <v>74073</v>
      </c>
      <c r="Z34" s="27">
        <v>78484</v>
      </c>
      <c r="AA34" s="27">
        <v>80606</v>
      </c>
      <c r="AB34" s="27">
        <v>81102</v>
      </c>
      <c r="AC34" s="27">
        <v>87800</v>
      </c>
      <c r="AD34" s="27">
        <v>85667</v>
      </c>
      <c r="AE34" s="27">
        <v>83228.279413133379</v>
      </c>
      <c r="AF34" s="27">
        <v>85288.692095209277</v>
      </c>
      <c r="AG34" s="27">
        <v>89402.153728722871</v>
      </c>
      <c r="AH34" s="27">
        <v>90510.557914723904</v>
      </c>
      <c r="AI34" s="27">
        <v>80946.282812226491</v>
      </c>
      <c r="AJ34" s="27">
        <v>97918.322170442902</v>
      </c>
      <c r="AK34" s="27">
        <v>93746.002211283601</v>
      </c>
      <c r="AL34" s="27">
        <v>90258.314857375255</v>
      </c>
      <c r="AM34" s="27">
        <v>95254</v>
      </c>
      <c r="AN34" s="27">
        <v>102223</v>
      </c>
      <c r="AO34" s="27">
        <v>99144</v>
      </c>
      <c r="AP34" s="27">
        <v>89272</v>
      </c>
      <c r="AQ34" s="27">
        <v>90177.794240254676</v>
      </c>
      <c r="AR34" s="27">
        <v>92675.773665021043</v>
      </c>
      <c r="AS34" s="27">
        <v>105015.44777916004</v>
      </c>
      <c r="AT34" s="27">
        <v>102869.44993975338</v>
      </c>
      <c r="AU34" s="27">
        <v>101473.95361667546</v>
      </c>
      <c r="AV34" s="27">
        <v>108055.02285767831</v>
      </c>
      <c r="AW34" s="27">
        <v>109015.40579162672</v>
      </c>
      <c r="AX34" s="27">
        <v>115660.46550332049</v>
      </c>
      <c r="AY34" s="27">
        <v>118796.12844466366</v>
      </c>
      <c r="AZ34" s="27">
        <v>121758.63498952119</v>
      </c>
      <c r="BA34" s="27">
        <v>125118.06952713689</v>
      </c>
      <c r="BB34" s="27">
        <v>127060.01614186288</v>
      </c>
      <c r="BC34" s="27">
        <v>142384.42321047024</v>
      </c>
      <c r="BD34" s="27">
        <v>121971.44740463202</v>
      </c>
      <c r="BE34" s="27">
        <v>159404.83358335987</v>
      </c>
      <c r="BF34" s="27">
        <v>158392.26542298836</v>
      </c>
      <c r="BG34" s="28">
        <v>164329.03697465188</v>
      </c>
      <c r="BH34" s="28">
        <v>203915.04321517842</v>
      </c>
      <c r="BI34" s="28">
        <v>190633</v>
      </c>
      <c r="BJ34" s="28">
        <v>192538</v>
      </c>
      <c r="BK34" s="28">
        <v>217611</v>
      </c>
      <c r="BL34" s="28">
        <v>181732</v>
      </c>
      <c r="BM34" s="28">
        <v>198985</v>
      </c>
      <c r="BN34" s="28">
        <v>195324</v>
      </c>
      <c r="BO34" s="28">
        <f>BO9</f>
        <v>182478.08071313796</v>
      </c>
      <c r="BP34" s="28">
        <f t="shared" ref="BP34:BR34" si="16">BP9</f>
        <v>185870.63073595663</v>
      </c>
      <c r="BQ34" s="28">
        <f t="shared" si="16"/>
        <v>199371.19042391944</v>
      </c>
      <c r="BR34" s="28">
        <f t="shared" si="16"/>
        <v>195493</v>
      </c>
      <c r="BS34" s="28">
        <v>216512</v>
      </c>
      <c r="BT34" s="28">
        <v>192021</v>
      </c>
      <c r="BU34" s="28">
        <f>234799</f>
        <v>234799</v>
      </c>
      <c r="BV34" s="28">
        <f>195000</f>
        <v>195000</v>
      </c>
      <c r="BW34" s="28">
        <f>194595</f>
        <v>194595</v>
      </c>
      <c r="BX34" s="28">
        <f>239432</f>
        <v>239432</v>
      </c>
      <c r="BY34" s="28">
        <f>267395</f>
        <v>267395</v>
      </c>
      <c r="BZ34" s="28">
        <f>221909</f>
        <v>221909</v>
      </c>
      <c r="CA34" s="28">
        <v>274004.20481663512</v>
      </c>
    </row>
    <row r="35" spans="1:79" x14ac:dyDescent="0.2">
      <c r="A35" s="21" t="s">
        <v>111</v>
      </c>
      <c r="B35" s="6" t="s">
        <v>35</v>
      </c>
      <c r="C35" s="20"/>
      <c r="D35" s="20"/>
      <c r="E35" s="20"/>
      <c r="F35" s="20"/>
      <c r="G35" s="20"/>
      <c r="H35" s="20"/>
      <c r="I35" s="20"/>
      <c r="J35" s="20"/>
      <c r="K35" s="20">
        <v>142717</v>
      </c>
      <c r="L35" s="20">
        <v>171585</v>
      </c>
      <c r="M35" s="20">
        <v>227675.32320000001</v>
      </c>
      <c r="N35" s="20">
        <f t="shared" ref="N35:N36" si="17">AVERAGE(BK35:BN35)</f>
        <v>264026.25</v>
      </c>
      <c r="O35" s="20">
        <f t="shared" si="15"/>
        <v>275729.8315307544</v>
      </c>
      <c r="P35" s="20">
        <f t="shared" si="15"/>
        <v>300729.07098191651</v>
      </c>
      <c r="Q35" s="20">
        <f t="shared" si="15"/>
        <v>274839.62293375272</v>
      </c>
      <c r="R35" s="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>
        <v>106636</v>
      </c>
      <c r="AV35" s="20">
        <v>111066</v>
      </c>
      <c r="AW35" s="20">
        <v>109630</v>
      </c>
      <c r="AX35" s="20">
        <v>119972</v>
      </c>
      <c r="AY35" s="20">
        <v>134674.20860035415</v>
      </c>
      <c r="AZ35" s="20">
        <v>144541.35515290051</v>
      </c>
      <c r="BA35" s="20">
        <v>141407.16011891101</v>
      </c>
      <c r="BB35" s="20">
        <v>151970.89868517112</v>
      </c>
      <c r="BC35" s="20">
        <v>171385.11339795694</v>
      </c>
      <c r="BD35" s="20">
        <v>122861.17023687845</v>
      </c>
      <c r="BE35" s="20">
        <v>194240.88155076321</v>
      </c>
      <c r="BF35" s="20">
        <v>177110.01248022571</v>
      </c>
      <c r="BG35" s="19">
        <v>182564.76327908901</v>
      </c>
      <c r="BH35" s="19">
        <v>232271.66960820701</v>
      </c>
      <c r="BI35" s="19">
        <v>228589</v>
      </c>
      <c r="BJ35" s="19">
        <v>261542</v>
      </c>
      <c r="BK35" s="19">
        <v>277236</v>
      </c>
      <c r="BL35" s="19">
        <v>227781</v>
      </c>
      <c r="BM35" s="19">
        <v>281433</v>
      </c>
      <c r="BN35" s="62">
        <v>269655</v>
      </c>
      <c r="BO35" s="19">
        <v>241677.11333712612</v>
      </c>
      <c r="BP35" s="19">
        <v>252546.7309082819</v>
      </c>
      <c r="BQ35" s="19">
        <v>298533.53502197156</v>
      </c>
      <c r="BR35" s="19">
        <v>282856.39688387804</v>
      </c>
      <c r="BS35" s="19">
        <v>297300</v>
      </c>
      <c r="BT35" s="19">
        <f>301581</f>
        <v>301581</v>
      </c>
      <c r="BU35" s="19">
        <f>315182</f>
        <v>315182</v>
      </c>
      <c r="BV35" s="19">
        <f>288781</f>
        <v>288781</v>
      </c>
      <c r="BW35" s="19">
        <v>214244</v>
      </c>
      <c r="BX35" s="19">
        <f>357299</f>
        <v>357299</v>
      </c>
      <c r="BY35" s="19">
        <f>319428</f>
        <v>319428</v>
      </c>
      <c r="BZ35" s="19">
        <f>262425</f>
        <v>262425</v>
      </c>
      <c r="CA35" s="19">
        <v>337746.0322690875</v>
      </c>
    </row>
    <row r="36" spans="1:79" x14ac:dyDescent="0.2">
      <c r="A36" s="21" t="s">
        <v>112</v>
      </c>
      <c r="B36" s="6" t="s">
        <v>35</v>
      </c>
      <c r="C36" s="20"/>
      <c r="D36" s="20"/>
      <c r="E36" s="20"/>
      <c r="F36" s="20"/>
      <c r="G36" s="20"/>
      <c r="H36" s="20"/>
      <c r="I36" s="20"/>
      <c r="J36" s="20"/>
      <c r="K36" s="20">
        <v>105073</v>
      </c>
      <c r="L36" s="20">
        <v>124839</v>
      </c>
      <c r="M36" s="20">
        <v>145098.54550000001</v>
      </c>
      <c r="N36" s="20">
        <f t="shared" si="17"/>
        <v>175386.25</v>
      </c>
      <c r="O36" s="20">
        <f t="shared" ref="O36:P37" si="18">O28/O46*1000000</f>
        <v>160148.86525165982</v>
      </c>
      <c r="P36" s="20">
        <f t="shared" si="18"/>
        <v>162763.11323591121</v>
      </c>
      <c r="Q36" s="20">
        <f>Q28/Q46*1000000</f>
        <v>196236.57915215843</v>
      </c>
      <c r="R36" s="8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>
        <v>97359</v>
      </c>
      <c r="AV36" s="20">
        <v>105411</v>
      </c>
      <c r="AW36" s="20">
        <v>108400</v>
      </c>
      <c r="AX36" s="20">
        <v>111265</v>
      </c>
      <c r="AY36" s="20">
        <v>102075.33039949139</v>
      </c>
      <c r="AZ36" s="20">
        <v>100058.14254499302</v>
      </c>
      <c r="BA36" s="20">
        <v>107464.84053042623</v>
      </c>
      <c r="BB36" s="20">
        <v>109850.11609688206</v>
      </c>
      <c r="BC36" s="20">
        <v>116695.62076664282</v>
      </c>
      <c r="BD36" s="20">
        <v>121108.49913371918</v>
      </c>
      <c r="BE36" s="20">
        <v>119832.36031155818</v>
      </c>
      <c r="BF36" s="20">
        <v>138241.03100844199</v>
      </c>
      <c r="BG36" s="19">
        <v>144203.477839108</v>
      </c>
      <c r="BH36" s="19">
        <v>151485.59596287701</v>
      </c>
      <c r="BI36" s="19">
        <v>150724</v>
      </c>
      <c r="BJ36" s="19">
        <v>138221</v>
      </c>
      <c r="BK36" s="19">
        <v>164666</v>
      </c>
      <c r="BL36" s="19">
        <v>150977</v>
      </c>
      <c r="BM36" s="19">
        <v>188567</v>
      </c>
      <c r="BN36" s="62">
        <v>197335</v>
      </c>
      <c r="BO36" s="19">
        <v>177360.30188304858</v>
      </c>
      <c r="BP36" s="19">
        <v>180061.7501297897</v>
      </c>
      <c r="BQ36" s="19">
        <v>159854.74301852004</v>
      </c>
      <c r="BR36" s="19">
        <v>141960.82360662741</v>
      </c>
      <c r="BS36" s="19">
        <v>141576</v>
      </c>
      <c r="BT36" s="19">
        <v>142807</v>
      </c>
      <c r="BU36" s="19">
        <f>219096</f>
        <v>219096</v>
      </c>
      <c r="BV36" s="19">
        <f>154488</f>
        <v>154488</v>
      </c>
      <c r="BW36" s="19">
        <v>186747</v>
      </c>
      <c r="BX36" s="19">
        <f>210562</f>
        <v>210562</v>
      </c>
      <c r="BY36" s="19">
        <f>231312</f>
        <v>231312</v>
      </c>
      <c r="BZ36" s="19">
        <f>160847</f>
        <v>160847</v>
      </c>
      <c r="CA36" s="19">
        <v>245630.24278493933</v>
      </c>
    </row>
    <row r="37" spans="1:79" x14ac:dyDescent="0.2">
      <c r="A37" s="21" t="s">
        <v>113</v>
      </c>
      <c r="B37" s="6" t="s">
        <v>35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>
        <f>AVERAGE(BK37:BN37)</f>
        <v>99888.666666666672</v>
      </c>
      <c r="O37" s="20">
        <f t="shared" si="18"/>
        <v>126128.67869874639</v>
      </c>
      <c r="P37" s="20">
        <v>152928</v>
      </c>
      <c r="Q37" s="20">
        <f>Q29/Q47*1000000</f>
        <v>164418.63951857408</v>
      </c>
      <c r="R37" s="8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19"/>
      <c r="BH37" s="19"/>
      <c r="BI37" s="19"/>
      <c r="BJ37" s="19"/>
      <c r="BK37" s="19"/>
      <c r="BL37" s="19">
        <v>84945</v>
      </c>
      <c r="BM37" s="19">
        <v>97128</v>
      </c>
      <c r="BN37" s="62">
        <v>117593</v>
      </c>
      <c r="BO37" s="19">
        <v>116837.1142246169</v>
      </c>
      <c r="BP37" s="19">
        <v>114475.2441986622</v>
      </c>
      <c r="BQ37" s="19">
        <v>118829.83704499254</v>
      </c>
      <c r="BR37" s="19">
        <v>140549.85070041681</v>
      </c>
      <c r="BS37" s="19">
        <v>147238</v>
      </c>
      <c r="BT37" s="19">
        <v>148820</v>
      </c>
      <c r="BU37" s="19">
        <f>158242</f>
        <v>158242</v>
      </c>
      <c r="BV37" s="19">
        <f>161270</f>
        <v>161270</v>
      </c>
      <c r="BW37" s="19">
        <f>162290</f>
        <v>162290</v>
      </c>
      <c r="BX37" s="19">
        <f>156588</f>
        <v>156588</v>
      </c>
      <c r="BY37" s="19">
        <f>168538</f>
        <v>168538</v>
      </c>
      <c r="BZ37" s="19">
        <f>170361</f>
        <v>170361</v>
      </c>
      <c r="CA37" s="19">
        <v>195406.12948694505</v>
      </c>
    </row>
    <row r="38" spans="1:79" x14ac:dyDescent="0.2">
      <c r="A38" s="26" t="s">
        <v>44</v>
      </c>
      <c r="B38" s="6" t="s">
        <v>2</v>
      </c>
      <c r="C38" s="27"/>
      <c r="D38" s="27">
        <f>SUM(W38:Z38)</f>
        <v>5797</v>
      </c>
      <c r="E38" s="27">
        <f>SUM(AA38:AD38)</f>
        <v>6876</v>
      </c>
      <c r="F38" s="27">
        <f>SUM(AE38:AH38)</f>
        <v>9045</v>
      </c>
      <c r="G38" s="27">
        <f>SUM(AI38:AL38)</f>
        <v>7841</v>
      </c>
      <c r="H38" s="27">
        <f>SUM(AM38:AP38)</f>
        <v>9590</v>
      </c>
      <c r="I38" s="27">
        <f>SUM(AQ38:AT38)</f>
        <v>9916</v>
      </c>
      <c r="J38" s="27">
        <f>SUM(AU38:AX38)</f>
        <v>12312</v>
      </c>
      <c r="K38" s="27">
        <f>SUM(AY38:BB38)</f>
        <v>12040</v>
      </c>
      <c r="L38" s="27">
        <f>SUM(BC38:BF38)</f>
        <v>9725</v>
      </c>
      <c r="M38" s="27">
        <f>SUM(BG38:BJ38)</f>
        <v>8560</v>
      </c>
      <c r="N38" s="27">
        <f t="shared" si="10"/>
        <v>6457</v>
      </c>
      <c r="O38" s="27">
        <f t="shared" ref="O38:O41" si="19">SUM(BO38:BR38)</f>
        <v>11689</v>
      </c>
      <c r="P38" s="27">
        <f t="shared" ref="P38:P41" si="20">SUM(BS38:BV38)</f>
        <v>14304</v>
      </c>
      <c r="Q38" s="27">
        <f t="shared" si="12"/>
        <v>12509</v>
      </c>
      <c r="R38" s="8"/>
      <c r="S38" s="27"/>
      <c r="T38" s="27"/>
      <c r="U38" s="27"/>
      <c r="V38" s="27"/>
      <c r="W38" s="27">
        <v>1338</v>
      </c>
      <c r="X38" s="27">
        <v>1235</v>
      </c>
      <c r="Y38" s="27">
        <v>1390</v>
      </c>
      <c r="Z38" s="27">
        <v>1834</v>
      </c>
      <c r="AA38" s="27">
        <v>1454</v>
      </c>
      <c r="AB38" s="27">
        <v>1548</v>
      </c>
      <c r="AC38" s="27">
        <v>1752</v>
      </c>
      <c r="AD38" s="27">
        <v>2122</v>
      </c>
      <c r="AE38" s="27">
        <v>2300</v>
      </c>
      <c r="AF38" s="27">
        <v>2033</v>
      </c>
      <c r="AG38" s="27">
        <v>1960</v>
      </c>
      <c r="AH38" s="27">
        <v>2752</v>
      </c>
      <c r="AI38" s="27">
        <v>1028</v>
      </c>
      <c r="AJ38" s="27">
        <v>831</v>
      </c>
      <c r="AK38" s="27">
        <v>2525</v>
      </c>
      <c r="AL38" s="27">
        <v>3457</v>
      </c>
      <c r="AM38" s="27">
        <v>2634</v>
      </c>
      <c r="AN38" s="27">
        <v>1886</v>
      </c>
      <c r="AO38" s="27">
        <v>2069</v>
      </c>
      <c r="AP38" s="27">
        <v>3001</v>
      </c>
      <c r="AQ38" s="27">
        <v>2082</v>
      </c>
      <c r="AR38" s="27">
        <v>2321</v>
      </c>
      <c r="AS38" s="27">
        <v>2331</v>
      </c>
      <c r="AT38" s="27">
        <v>3182</v>
      </c>
      <c r="AU38" s="27">
        <f t="shared" ref="AU38:BH38" si="21">SUM(AU39:AU40)</f>
        <v>2573</v>
      </c>
      <c r="AV38" s="27">
        <f t="shared" si="21"/>
        <v>2532</v>
      </c>
      <c r="AW38" s="27">
        <f t="shared" si="21"/>
        <v>2962</v>
      </c>
      <c r="AX38" s="27">
        <f t="shared" si="21"/>
        <v>4245</v>
      </c>
      <c r="AY38" s="27">
        <f t="shared" si="21"/>
        <v>3470</v>
      </c>
      <c r="AZ38" s="27">
        <f t="shared" si="21"/>
        <v>3060</v>
      </c>
      <c r="BA38" s="27">
        <f t="shared" si="21"/>
        <v>2579</v>
      </c>
      <c r="BB38" s="27">
        <f t="shared" si="21"/>
        <v>2931</v>
      </c>
      <c r="BC38" s="27">
        <f t="shared" si="21"/>
        <v>2323</v>
      </c>
      <c r="BD38" s="27">
        <f t="shared" si="21"/>
        <v>1559</v>
      </c>
      <c r="BE38" s="27">
        <f t="shared" si="21"/>
        <v>2706</v>
      </c>
      <c r="BF38" s="27">
        <f t="shared" si="21"/>
        <v>3137</v>
      </c>
      <c r="BG38" s="28">
        <f t="shared" si="21"/>
        <v>1989</v>
      </c>
      <c r="BH38" s="28">
        <f t="shared" si="21"/>
        <v>2297</v>
      </c>
      <c r="BI38" s="28">
        <v>1869</v>
      </c>
      <c r="BJ38" s="28">
        <v>2405</v>
      </c>
      <c r="BK38" s="28">
        <v>1899</v>
      </c>
      <c r="BL38" s="28">
        <v>1216</v>
      </c>
      <c r="BM38" s="28">
        <v>1572</v>
      </c>
      <c r="BN38" s="63">
        <v>1770</v>
      </c>
      <c r="BO38" s="63">
        <f>BO12</f>
        <v>1555</v>
      </c>
      <c r="BP38" s="63">
        <f t="shared" ref="BP38:BR38" si="22">BP12</f>
        <v>2265</v>
      </c>
      <c r="BQ38" s="63">
        <f t="shared" si="22"/>
        <v>3343</v>
      </c>
      <c r="BR38" s="63">
        <f t="shared" si="22"/>
        <v>4526</v>
      </c>
      <c r="BS38" s="63">
        <v>3816</v>
      </c>
      <c r="BT38" s="63">
        <v>3643</v>
      </c>
      <c r="BU38" s="63">
        <f>3368</f>
        <v>3368</v>
      </c>
      <c r="BV38" s="63">
        <f>3477</f>
        <v>3477</v>
      </c>
      <c r="BW38" s="63">
        <f>4075</f>
        <v>4075</v>
      </c>
      <c r="BX38" s="63">
        <f>2479</f>
        <v>2479</v>
      </c>
      <c r="BY38" s="63">
        <f>2772</f>
        <v>2772</v>
      </c>
      <c r="BZ38" s="63">
        <f>3183</f>
        <v>3183</v>
      </c>
      <c r="CA38" s="63">
        <v>1679</v>
      </c>
    </row>
    <row r="39" spans="1:79" x14ac:dyDescent="0.2">
      <c r="A39" s="21" t="s">
        <v>111</v>
      </c>
      <c r="B39" s="6"/>
      <c r="C39" s="20"/>
      <c r="D39" s="20"/>
      <c r="E39" s="20"/>
      <c r="F39" s="20"/>
      <c r="G39" s="20"/>
      <c r="H39" s="20"/>
      <c r="I39" s="20"/>
      <c r="J39" s="20">
        <f>SUM(AU39:AX39)</f>
        <v>5976</v>
      </c>
      <c r="K39" s="20">
        <f>SUM(AY39:BB39)</f>
        <v>5619</v>
      </c>
      <c r="L39" s="20">
        <f>SUM(BC39:BF39)</f>
        <v>4938</v>
      </c>
      <c r="M39" s="20">
        <f>SUM(BG39:BJ39)</f>
        <v>4654</v>
      </c>
      <c r="N39" s="20">
        <f t="shared" si="10"/>
        <v>2645</v>
      </c>
      <c r="O39" s="20">
        <f t="shared" si="19"/>
        <v>4269</v>
      </c>
      <c r="P39" s="20">
        <f t="shared" si="20"/>
        <v>5372</v>
      </c>
      <c r="Q39" s="20">
        <f t="shared" si="12"/>
        <v>4674</v>
      </c>
      <c r="R39" s="8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>
        <v>1142</v>
      </c>
      <c r="AV39" s="20">
        <v>1246</v>
      </c>
      <c r="AW39" s="20">
        <v>1430</v>
      </c>
      <c r="AX39" s="20">
        <v>2158</v>
      </c>
      <c r="AY39" s="20">
        <v>1763</v>
      </c>
      <c r="AZ39" s="20">
        <v>1454</v>
      </c>
      <c r="BA39" s="20">
        <v>1235</v>
      </c>
      <c r="BB39" s="20">
        <v>1167</v>
      </c>
      <c r="BC39" s="20">
        <v>1122</v>
      </c>
      <c r="BD39" s="20">
        <v>640</v>
      </c>
      <c r="BE39" s="20">
        <v>1461</v>
      </c>
      <c r="BF39" s="20">
        <v>1715</v>
      </c>
      <c r="BG39" s="19">
        <v>1030</v>
      </c>
      <c r="BH39" s="19">
        <v>1479</v>
      </c>
      <c r="BI39" s="19">
        <v>999</v>
      </c>
      <c r="BJ39" s="19">
        <v>1146</v>
      </c>
      <c r="BK39" s="19">
        <v>824</v>
      </c>
      <c r="BL39" s="19">
        <v>638</v>
      </c>
      <c r="BM39" s="19">
        <v>565</v>
      </c>
      <c r="BN39" s="19">
        <v>618</v>
      </c>
      <c r="BO39" s="19">
        <v>624</v>
      </c>
      <c r="BP39" s="19">
        <v>782</v>
      </c>
      <c r="BQ39" s="19">
        <v>1256</v>
      </c>
      <c r="BR39" s="19">
        <v>1607</v>
      </c>
      <c r="BS39" s="19">
        <v>1856</v>
      </c>
      <c r="BT39" s="19">
        <v>1250</v>
      </c>
      <c r="BU39" s="19">
        <f>1136</f>
        <v>1136</v>
      </c>
      <c r="BV39" s="19">
        <f>1130</f>
        <v>1130</v>
      </c>
      <c r="BW39" s="19">
        <f>1650</f>
        <v>1650</v>
      </c>
      <c r="BX39" s="19">
        <f>857</f>
        <v>857</v>
      </c>
      <c r="BY39" s="19">
        <f>1173</f>
        <v>1173</v>
      </c>
      <c r="BZ39" s="19">
        <f>994</f>
        <v>994</v>
      </c>
      <c r="CA39" s="19">
        <v>646</v>
      </c>
    </row>
    <row r="40" spans="1:79" x14ac:dyDescent="0.2">
      <c r="A40" s="21" t="s">
        <v>112</v>
      </c>
      <c r="B40" s="6"/>
      <c r="C40" s="20"/>
      <c r="D40" s="20"/>
      <c r="E40" s="20"/>
      <c r="F40" s="20"/>
      <c r="G40" s="20"/>
      <c r="H40" s="20"/>
      <c r="I40" s="20"/>
      <c r="J40" s="20">
        <f>SUM(AU40:AX40)</f>
        <v>6336</v>
      </c>
      <c r="K40" s="20">
        <f>SUM(AY40:BB40)</f>
        <v>6421</v>
      </c>
      <c r="L40" s="20">
        <f>SUM(BC40:BF40)</f>
        <v>4787</v>
      </c>
      <c r="M40" s="20">
        <f>SUM(BG40:BJ40)</f>
        <v>3906</v>
      </c>
      <c r="N40" s="20">
        <f t="shared" si="10"/>
        <v>2609</v>
      </c>
      <c r="O40" s="20">
        <f t="shared" si="19"/>
        <v>3456</v>
      </c>
      <c r="P40" s="20">
        <f t="shared" si="20"/>
        <v>4795</v>
      </c>
      <c r="Q40" s="20">
        <f t="shared" si="12"/>
        <v>4650</v>
      </c>
      <c r="R40" s="8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>
        <v>1431</v>
      </c>
      <c r="AV40" s="20">
        <v>1286</v>
      </c>
      <c r="AW40" s="20">
        <v>1532</v>
      </c>
      <c r="AX40" s="20">
        <v>2087</v>
      </c>
      <c r="AY40" s="20">
        <v>1707</v>
      </c>
      <c r="AZ40" s="20">
        <v>1606</v>
      </c>
      <c r="BA40" s="20">
        <v>1344</v>
      </c>
      <c r="BB40" s="20">
        <v>1764</v>
      </c>
      <c r="BC40" s="20">
        <v>1201</v>
      </c>
      <c r="BD40" s="20">
        <v>919</v>
      </c>
      <c r="BE40" s="20">
        <v>1245</v>
      </c>
      <c r="BF40" s="20">
        <v>1422</v>
      </c>
      <c r="BG40" s="19">
        <v>959</v>
      </c>
      <c r="BH40" s="19">
        <v>818</v>
      </c>
      <c r="BI40" s="19">
        <v>870</v>
      </c>
      <c r="BJ40" s="19">
        <v>1259</v>
      </c>
      <c r="BK40" s="19">
        <v>1075</v>
      </c>
      <c r="BL40" s="19">
        <v>460</v>
      </c>
      <c r="BM40" s="19">
        <v>541</v>
      </c>
      <c r="BN40" s="19">
        <v>533</v>
      </c>
      <c r="BO40" s="19">
        <v>398</v>
      </c>
      <c r="BP40" s="19">
        <v>715</v>
      </c>
      <c r="BQ40" s="19">
        <v>947</v>
      </c>
      <c r="BR40" s="19">
        <v>1396</v>
      </c>
      <c r="BS40" s="19">
        <v>902</v>
      </c>
      <c r="BT40" s="19">
        <v>1078</v>
      </c>
      <c r="BU40" s="19">
        <f>1247</f>
        <v>1247</v>
      </c>
      <c r="BV40" s="19">
        <f>1568</f>
        <v>1568</v>
      </c>
      <c r="BW40" s="19">
        <f>1535</f>
        <v>1535</v>
      </c>
      <c r="BX40" s="19">
        <f>908</f>
        <v>908</v>
      </c>
      <c r="BY40" s="19">
        <f>903</f>
        <v>903</v>
      </c>
      <c r="BZ40" s="19">
        <f>1304</f>
        <v>1304</v>
      </c>
      <c r="CA40" s="19">
        <v>503</v>
      </c>
    </row>
    <row r="41" spans="1:79" x14ac:dyDescent="0.2">
      <c r="A41" s="21" t="s">
        <v>113</v>
      </c>
      <c r="B41" s="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>
        <f>SUM(BK41:BN41)</f>
        <v>1203</v>
      </c>
      <c r="O41" s="20">
        <f t="shared" si="19"/>
        <v>3964</v>
      </c>
      <c r="P41" s="20">
        <f t="shared" si="20"/>
        <v>4137</v>
      </c>
      <c r="Q41" s="20">
        <f t="shared" si="12"/>
        <v>3185</v>
      </c>
      <c r="R41" s="8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19"/>
      <c r="BH41" s="19"/>
      <c r="BI41" s="19"/>
      <c r="BJ41" s="19"/>
      <c r="BK41" s="19"/>
      <c r="BL41" s="19">
        <v>118</v>
      </c>
      <c r="BM41" s="19">
        <v>466</v>
      </c>
      <c r="BN41" s="19">
        <v>619</v>
      </c>
      <c r="BO41" s="19">
        <v>533</v>
      </c>
      <c r="BP41" s="19">
        <v>768</v>
      </c>
      <c r="BQ41" s="19">
        <v>1140</v>
      </c>
      <c r="BR41" s="19">
        <v>1523</v>
      </c>
      <c r="BS41" s="19">
        <v>1058</v>
      </c>
      <c r="BT41" s="19">
        <v>1315</v>
      </c>
      <c r="BU41" s="19">
        <f>985</f>
        <v>985</v>
      </c>
      <c r="BV41" s="19">
        <f>779</f>
        <v>779</v>
      </c>
      <c r="BW41" s="19">
        <f>890</f>
        <v>890</v>
      </c>
      <c r="BX41" s="19">
        <f>714</f>
        <v>714</v>
      </c>
      <c r="BY41" s="19">
        <f>696</f>
        <v>696</v>
      </c>
      <c r="BZ41" s="19">
        <f>885</f>
        <v>885</v>
      </c>
      <c r="CA41" s="19">
        <v>530</v>
      </c>
    </row>
    <row r="42" spans="1:79" x14ac:dyDescent="0.2">
      <c r="A42" s="22"/>
      <c r="B42" s="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7"/>
      <c r="R42" s="8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19"/>
      <c r="BH42" s="19"/>
      <c r="BI42" s="19"/>
      <c r="BJ42" s="19"/>
      <c r="BK42" s="19"/>
      <c r="BL42" s="19"/>
      <c r="BM42" s="19"/>
      <c r="BT42" s="5"/>
      <c r="BU42" s="5"/>
      <c r="BV42" s="5"/>
      <c r="BW42" s="5"/>
      <c r="BX42" s="5"/>
      <c r="BY42" s="5"/>
      <c r="BZ42" s="5"/>
      <c r="CA42" s="5"/>
    </row>
    <row r="43" spans="1:79" x14ac:dyDescent="0.2">
      <c r="A43" s="12" t="s">
        <v>48</v>
      </c>
      <c r="B43" s="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7"/>
      <c r="R43" s="8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19"/>
      <c r="BH43" s="19"/>
      <c r="BI43" s="19"/>
      <c r="BJ43" s="19"/>
      <c r="BK43" s="8"/>
      <c r="BL43" s="8"/>
      <c r="BM43" s="8"/>
      <c r="BT43" s="5"/>
      <c r="BU43" s="5"/>
      <c r="BV43" s="5"/>
      <c r="BW43" s="5"/>
      <c r="BX43" s="5"/>
      <c r="BY43" s="5"/>
      <c r="BZ43" s="5"/>
      <c r="CA43" s="5"/>
    </row>
    <row r="44" spans="1:79" x14ac:dyDescent="0.2">
      <c r="A44" s="26" t="s">
        <v>57</v>
      </c>
      <c r="B44" s="6" t="s">
        <v>51</v>
      </c>
      <c r="C44" s="27">
        <f>SUM(S44:V44)</f>
        <v>270012</v>
      </c>
      <c r="D44" s="27">
        <f>SUM(W44:Z44)</f>
        <v>316466</v>
      </c>
      <c r="E44" s="27">
        <f>SUM(AA44:AD44)</f>
        <v>356075</v>
      </c>
      <c r="F44" s="27">
        <f>SUM(AE44:AH44)</f>
        <v>457055</v>
      </c>
      <c r="G44" s="27">
        <f>SUM(AI44:AL44)</f>
        <v>385252</v>
      </c>
      <c r="H44" s="27">
        <f>SUM(AM44:AP44)</f>
        <v>496008</v>
      </c>
      <c r="I44" s="27">
        <f>SUM(AQ44:AT44)</f>
        <v>512161</v>
      </c>
      <c r="J44" s="27">
        <f t="shared" ref="J44:J50" si="23">SUM(AU44:AX44)</f>
        <v>627996</v>
      </c>
      <c r="K44" s="27">
        <f t="shared" ref="K44:K50" si="24">SUM(AY44:BB44)</f>
        <v>630399.1100000001</v>
      </c>
      <c r="L44" s="27">
        <f t="shared" ref="L44:L50" si="25">SUM(BC44:BF44)</f>
        <v>538194.04</v>
      </c>
      <c r="M44" s="27">
        <f>SUM(BG44:BJ44)</f>
        <v>446479.84000000008</v>
      </c>
      <c r="N44" s="27">
        <f>SUM(BK44:BN44)</f>
        <v>292395</v>
      </c>
      <c r="O44" s="27">
        <f t="shared" ref="O44:O51" si="26">SUM(BO44:BR44)</f>
        <v>547234.76</v>
      </c>
      <c r="P44" s="27">
        <f t="shared" ref="P44:P51" si="27">SUM(BS44:BV44)</f>
        <v>699959.08999999985</v>
      </c>
      <c r="Q44" s="27">
        <f t="shared" si="12"/>
        <v>671436.56999999983</v>
      </c>
      <c r="R44" s="26"/>
      <c r="S44" s="27">
        <v>59638</v>
      </c>
      <c r="T44" s="27">
        <v>62544</v>
      </c>
      <c r="U44" s="27">
        <v>63737</v>
      </c>
      <c r="V44" s="27">
        <v>84093</v>
      </c>
      <c r="W44" s="27">
        <v>77726</v>
      </c>
      <c r="X44" s="27">
        <v>69155</v>
      </c>
      <c r="Y44" s="27">
        <v>75102</v>
      </c>
      <c r="Z44" s="27">
        <v>94483</v>
      </c>
      <c r="AA44" s="27">
        <v>73481</v>
      </c>
      <c r="AB44" s="27">
        <v>80042</v>
      </c>
      <c r="AC44" s="27">
        <v>92755</v>
      </c>
      <c r="AD44" s="27">
        <v>109797</v>
      </c>
      <c r="AE44" s="27">
        <v>109060</v>
      </c>
      <c r="AF44" s="27">
        <v>94914</v>
      </c>
      <c r="AG44" s="27">
        <v>106039</v>
      </c>
      <c r="AH44" s="27">
        <v>147042</v>
      </c>
      <c r="AI44" s="27">
        <v>46990</v>
      </c>
      <c r="AJ44" s="27">
        <v>41973</v>
      </c>
      <c r="AK44" s="27">
        <v>121522</v>
      </c>
      <c r="AL44" s="27">
        <v>174767</v>
      </c>
      <c r="AM44" s="27">
        <v>135003</v>
      </c>
      <c r="AN44" s="27">
        <v>100599</v>
      </c>
      <c r="AO44" s="27">
        <v>106661</v>
      </c>
      <c r="AP44" s="27">
        <v>153745</v>
      </c>
      <c r="AQ44" s="27">
        <v>113646</v>
      </c>
      <c r="AR44" s="27">
        <v>122427</v>
      </c>
      <c r="AS44" s="27">
        <v>113979</v>
      </c>
      <c r="AT44" s="27">
        <v>162109</v>
      </c>
      <c r="AU44" s="27">
        <f t="shared" ref="AU44:BH44" si="28">SUM(AU45:AU46)</f>
        <v>134075</v>
      </c>
      <c r="AV44" s="27">
        <f t="shared" si="28"/>
        <v>128468</v>
      </c>
      <c r="AW44" s="27">
        <f t="shared" si="28"/>
        <v>154097</v>
      </c>
      <c r="AX44" s="27">
        <f t="shared" si="28"/>
        <v>211356</v>
      </c>
      <c r="AY44" s="27">
        <f t="shared" si="28"/>
        <v>167954.35</v>
      </c>
      <c r="AZ44" s="27">
        <f t="shared" si="28"/>
        <v>154257.26999999999</v>
      </c>
      <c r="BA44" s="27">
        <f t="shared" si="28"/>
        <v>136657.72000000003</v>
      </c>
      <c r="BB44" s="27">
        <f t="shared" si="28"/>
        <v>171529.77000000008</v>
      </c>
      <c r="BC44" s="27">
        <f t="shared" si="28"/>
        <v>125971.08000000002</v>
      </c>
      <c r="BD44" s="27">
        <f t="shared" si="28"/>
        <v>94984.22</v>
      </c>
      <c r="BE44" s="27">
        <f t="shared" si="28"/>
        <v>150450.69999999992</v>
      </c>
      <c r="BF44" s="27">
        <f t="shared" si="28"/>
        <v>166788.04000000004</v>
      </c>
      <c r="BG44" s="27">
        <f t="shared" si="28"/>
        <v>98670.300000000032</v>
      </c>
      <c r="BH44" s="27">
        <f t="shared" si="28"/>
        <v>122269.54000000005</v>
      </c>
      <c r="BI44" s="28">
        <v>96470</v>
      </c>
      <c r="BJ44" s="28">
        <v>129070</v>
      </c>
      <c r="BK44" s="28">
        <v>90439</v>
      </c>
      <c r="BL44" s="28">
        <v>53036</v>
      </c>
      <c r="BM44" s="28">
        <v>66986</v>
      </c>
      <c r="BN44" s="63">
        <v>81934</v>
      </c>
      <c r="BO44" s="63">
        <f>BO17</f>
        <v>73632.870000000039</v>
      </c>
      <c r="BP44" s="63">
        <f t="shared" ref="BP44:BR44" si="29">BP17</f>
        <v>110647.41</v>
      </c>
      <c r="BQ44" s="63">
        <f t="shared" si="29"/>
        <v>156337.03</v>
      </c>
      <c r="BR44" s="63">
        <f t="shared" si="29"/>
        <v>206617.44999999995</v>
      </c>
      <c r="BS44" s="63">
        <v>189205</v>
      </c>
      <c r="BT44" s="63">
        <v>195951.15999999989</v>
      </c>
      <c r="BU44" s="63">
        <v>157360.99999999997</v>
      </c>
      <c r="BV44" s="63">
        <v>157441.93</v>
      </c>
      <c r="BW44" s="63">
        <v>192077.43000000005</v>
      </c>
      <c r="BX44" s="63">
        <v>103677.55000000002</v>
      </c>
      <c r="BY44" s="63">
        <v>175226.06999999983</v>
      </c>
      <c r="BZ44" s="63">
        <v>200455.51999999996</v>
      </c>
      <c r="CA44" s="63">
        <v>89972.76999999999</v>
      </c>
    </row>
    <row r="45" spans="1:79" x14ac:dyDescent="0.2">
      <c r="A45" s="21" t="s">
        <v>111</v>
      </c>
      <c r="B45" s="6" t="s">
        <v>51</v>
      </c>
      <c r="C45" s="20"/>
      <c r="D45" s="20"/>
      <c r="E45" s="20"/>
      <c r="F45" s="20"/>
      <c r="G45" s="20"/>
      <c r="H45" s="20"/>
      <c r="I45" s="20"/>
      <c r="J45" s="20">
        <f t="shared" si="23"/>
        <v>303334</v>
      </c>
      <c r="K45" s="20">
        <f t="shared" si="24"/>
        <v>302559.66000000003</v>
      </c>
      <c r="L45" s="20">
        <f>SUM(BC45:BF45)</f>
        <v>272421.21999999997</v>
      </c>
      <c r="M45" s="20">
        <f>SUM(BG45:BJ45)</f>
        <v>237411.64000000007</v>
      </c>
      <c r="N45" s="20">
        <f t="shared" si="10"/>
        <v>121371</v>
      </c>
      <c r="O45" s="20">
        <f t="shared" si="26"/>
        <v>210598.25999999995</v>
      </c>
      <c r="P45" s="20">
        <f t="shared" si="27"/>
        <v>248514</v>
      </c>
      <c r="Q45" s="20">
        <f t="shared" si="12"/>
        <v>333105.71000000008</v>
      </c>
      <c r="R45" s="8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109">
        <v>59469</v>
      </c>
      <c r="AV45" s="109">
        <v>60065</v>
      </c>
      <c r="AW45" s="109">
        <v>77106</v>
      </c>
      <c r="AX45" s="109">
        <v>106694</v>
      </c>
      <c r="AY45" s="109">
        <v>86148.08</v>
      </c>
      <c r="AZ45" s="109">
        <v>75252.180000000022</v>
      </c>
      <c r="BA45" s="109">
        <v>71074.990000000005</v>
      </c>
      <c r="BB45" s="109">
        <v>70084.410000000033</v>
      </c>
      <c r="BC45" s="109">
        <v>59171.260000000038</v>
      </c>
      <c r="BD45" s="109">
        <v>46766.600000000006</v>
      </c>
      <c r="BE45" s="109">
        <v>80013.769999999946</v>
      </c>
      <c r="BF45" s="109">
        <v>86469.59</v>
      </c>
      <c r="BG45" s="32">
        <v>51765.600000000035</v>
      </c>
      <c r="BH45" s="32">
        <v>79351.850000000049</v>
      </c>
      <c r="BI45" s="19">
        <v>49444.9</v>
      </c>
      <c r="BJ45" s="19">
        <v>56849.29</v>
      </c>
      <c r="BK45" s="19">
        <v>42536</v>
      </c>
      <c r="BL45" s="19">
        <v>25114</v>
      </c>
      <c r="BM45" s="19">
        <v>25228</v>
      </c>
      <c r="BN45" s="62">
        <v>28493</v>
      </c>
      <c r="BO45" s="19">
        <v>29529.599999999999</v>
      </c>
      <c r="BP45" s="19">
        <v>40979.620000000003</v>
      </c>
      <c r="BQ45" s="19">
        <v>60858.509999999987</v>
      </c>
      <c r="BR45" s="19">
        <v>79230.529999999984</v>
      </c>
      <c r="BS45" s="19">
        <v>89179</v>
      </c>
      <c r="BT45" s="19">
        <v>58272</v>
      </c>
      <c r="BU45" s="19">
        <v>55445</v>
      </c>
      <c r="BV45" s="19">
        <v>45618</v>
      </c>
      <c r="BW45" s="19">
        <v>89391.600000000035</v>
      </c>
      <c r="BX45" s="19">
        <v>32466.599999999991</v>
      </c>
      <c r="BY45" s="19">
        <v>94067.400000000023</v>
      </c>
      <c r="BZ45" s="19">
        <v>117180.11000000002</v>
      </c>
      <c r="CA45" s="19">
        <v>41848.1</v>
      </c>
    </row>
    <row r="46" spans="1:79" x14ac:dyDescent="0.2">
      <c r="A46" s="21" t="s">
        <v>112</v>
      </c>
      <c r="B46" s="6" t="s">
        <v>51</v>
      </c>
      <c r="C46" s="20"/>
      <c r="D46" s="20"/>
      <c r="E46" s="20"/>
      <c r="F46" s="20"/>
      <c r="G46" s="20"/>
      <c r="H46" s="20"/>
      <c r="I46" s="20"/>
      <c r="J46" s="20">
        <f t="shared" si="23"/>
        <v>324662</v>
      </c>
      <c r="K46" s="20">
        <f t="shared" si="24"/>
        <v>327839.45000000007</v>
      </c>
      <c r="L46" s="20">
        <f>SUM(BC46:BF46)</f>
        <v>265772.81999999995</v>
      </c>
      <c r="M46" s="20">
        <f>SUM(BG46:BJ46)</f>
        <v>209068.39</v>
      </c>
      <c r="N46" s="20">
        <f t="shared" si="10"/>
        <v>120619</v>
      </c>
      <c r="O46" s="20">
        <f t="shared" si="26"/>
        <v>148232.03</v>
      </c>
      <c r="P46" s="20">
        <f t="shared" si="27"/>
        <v>250849.21999999997</v>
      </c>
      <c r="Q46" s="20">
        <f t="shared" si="12"/>
        <v>199883.81</v>
      </c>
      <c r="R46" s="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109">
        <v>74606</v>
      </c>
      <c r="AV46" s="109">
        <v>68403</v>
      </c>
      <c r="AW46" s="109">
        <v>76991</v>
      </c>
      <c r="AX46" s="109">
        <v>104662</v>
      </c>
      <c r="AY46" s="109">
        <v>81806.27</v>
      </c>
      <c r="AZ46" s="109">
        <v>79005.089999999967</v>
      </c>
      <c r="BA46" s="109">
        <v>65582.73000000001</v>
      </c>
      <c r="BB46" s="109">
        <v>101445.36000000004</v>
      </c>
      <c r="BC46" s="109">
        <v>66799.819999999978</v>
      </c>
      <c r="BD46" s="109">
        <v>48217.619999999995</v>
      </c>
      <c r="BE46" s="109">
        <v>70436.929999999978</v>
      </c>
      <c r="BF46" s="109">
        <v>80318.450000000026</v>
      </c>
      <c r="BG46" s="32">
        <v>46904.7</v>
      </c>
      <c r="BH46" s="32">
        <v>42917.69</v>
      </c>
      <c r="BI46" s="19">
        <v>47026</v>
      </c>
      <c r="BJ46" s="19">
        <v>72220</v>
      </c>
      <c r="BK46" s="19">
        <v>47903</v>
      </c>
      <c r="BL46" s="19">
        <v>23413</v>
      </c>
      <c r="BM46" s="19">
        <v>23769</v>
      </c>
      <c r="BN46" s="62">
        <v>25534</v>
      </c>
      <c r="BO46" s="19">
        <v>18949.059999999998</v>
      </c>
      <c r="BP46" s="19">
        <v>34151.409999999996</v>
      </c>
      <c r="BQ46" s="19">
        <v>40464.200000000004</v>
      </c>
      <c r="BR46" s="19">
        <v>54667.360000000001</v>
      </c>
      <c r="BS46" s="19">
        <v>48654.859999999993</v>
      </c>
      <c r="BT46" s="19">
        <v>72584.56</v>
      </c>
      <c r="BU46" s="19">
        <v>54977.8</v>
      </c>
      <c r="BV46" s="19">
        <v>74632.000000000015</v>
      </c>
      <c r="BW46" s="19">
        <v>63817.410000000011</v>
      </c>
      <c r="BX46" s="19">
        <v>38400.959999999999</v>
      </c>
      <c r="BY46" s="19">
        <v>49838.2</v>
      </c>
      <c r="BZ46" s="19">
        <v>47827.240000000005</v>
      </c>
      <c r="CA46" s="19">
        <v>22201.13</v>
      </c>
    </row>
    <row r="47" spans="1:79" x14ac:dyDescent="0.2">
      <c r="A47" s="21" t="s">
        <v>113</v>
      </c>
      <c r="B47" s="6" t="s">
        <v>51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>
        <f>SUM(BK47:BN47)</f>
        <v>50405</v>
      </c>
      <c r="O47" s="20">
        <f t="shared" si="26"/>
        <v>188350.37</v>
      </c>
      <c r="P47" s="20">
        <f>SUM(BS47:BV47)</f>
        <v>200596.29</v>
      </c>
      <c r="Q47" s="20">
        <f t="shared" si="12"/>
        <v>138447.04999999999</v>
      </c>
      <c r="R47" s="8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32"/>
      <c r="BH47" s="32"/>
      <c r="BI47" s="19"/>
      <c r="BJ47" s="19"/>
      <c r="BK47" s="19"/>
      <c r="BL47" s="19">
        <v>4509</v>
      </c>
      <c r="BM47" s="19">
        <v>17989</v>
      </c>
      <c r="BN47" s="19">
        <v>27907</v>
      </c>
      <c r="BO47" s="19">
        <v>25154.21</v>
      </c>
      <c r="BP47" s="19">
        <v>35503.880000000005</v>
      </c>
      <c r="BQ47" s="19">
        <v>54972.719999999987</v>
      </c>
      <c r="BR47" s="19">
        <v>72719.559999999983</v>
      </c>
      <c r="BS47" s="19">
        <v>51370.71</v>
      </c>
      <c r="BT47" s="19">
        <v>65094.930000000008</v>
      </c>
      <c r="BU47" s="19">
        <v>46938.42</v>
      </c>
      <c r="BV47" s="19">
        <v>37192.23000000001</v>
      </c>
      <c r="BW47" s="19">
        <v>38868.42</v>
      </c>
      <c r="BX47" s="19">
        <v>32809.99</v>
      </c>
      <c r="BY47" s="19">
        <v>31320.469999999994</v>
      </c>
      <c r="BZ47" s="19">
        <v>35448.17</v>
      </c>
      <c r="CA47" s="19">
        <v>25923.54</v>
      </c>
    </row>
    <row r="48" spans="1:79" x14ac:dyDescent="0.2">
      <c r="A48" s="26" t="s">
        <v>50</v>
      </c>
      <c r="B48" s="6" t="s">
        <v>51</v>
      </c>
      <c r="C48" s="27">
        <v>328435</v>
      </c>
      <c r="D48" s="27">
        <v>363120</v>
      </c>
      <c r="E48" s="27">
        <v>468248</v>
      </c>
      <c r="F48" s="27">
        <v>583483</v>
      </c>
      <c r="G48" s="27">
        <v>502203</v>
      </c>
      <c r="H48" s="27">
        <v>420325</v>
      </c>
      <c r="I48" s="27">
        <f>SUM(AQ48:AT48)</f>
        <v>422946</v>
      </c>
      <c r="J48" s="27">
        <f t="shared" si="23"/>
        <v>479339</v>
      </c>
      <c r="K48" s="27">
        <f t="shared" si="24"/>
        <v>621866.93999999994</v>
      </c>
      <c r="L48" s="27">
        <f t="shared" si="25"/>
        <v>540325.10000000009</v>
      </c>
      <c r="M48" s="27">
        <f>SUM(BG48:BJ48)</f>
        <v>421209.4</v>
      </c>
      <c r="N48" s="27">
        <f t="shared" si="10"/>
        <v>734773</v>
      </c>
      <c r="O48" s="27">
        <f t="shared" si="26"/>
        <v>416726.2</v>
      </c>
      <c r="P48" s="27">
        <f t="shared" si="27"/>
        <v>161232</v>
      </c>
      <c r="Q48" s="27">
        <f t="shared" si="12"/>
        <v>483472</v>
      </c>
      <c r="R48" s="26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>
        <v>0</v>
      </c>
      <c r="AR48" s="27">
        <v>107796.6</v>
      </c>
      <c r="AS48" s="27">
        <v>19771.7</v>
      </c>
      <c r="AT48" s="27">
        <v>295377.7</v>
      </c>
      <c r="AU48" s="27">
        <v>0</v>
      </c>
      <c r="AV48" s="27">
        <v>0</v>
      </c>
      <c r="AW48" s="28">
        <f t="shared" ref="AW48:BH48" si="30">SUM(AW49:AW50)</f>
        <v>56270</v>
      </c>
      <c r="AX48" s="28">
        <f t="shared" si="30"/>
        <v>423069</v>
      </c>
      <c r="AY48" s="28">
        <f t="shared" si="30"/>
        <v>34538.639999999999</v>
      </c>
      <c r="AZ48" s="28">
        <f t="shared" si="30"/>
        <v>211804.59999999998</v>
      </c>
      <c r="BA48" s="28">
        <f t="shared" si="30"/>
        <v>67230.100000000006</v>
      </c>
      <c r="BB48" s="28">
        <f t="shared" si="30"/>
        <v>308293.60000000003</v>
      </c>
      <c r="BC48" s="28">
        <f t="shared" si="30"/>
        <v>88512.6</v>
      </c>
      <c r="BD48" s="28">
        <f t="shared" si="30"/>
        <v>88846.8</v>
      </c>
      <c r="BE48" s="28">
        <f t="shared" si="30"/>
        <v>15569.7</v>
      </c>
      <c r="BF48" s="28">
        <f t="shared" si="30"/>
        <v>347396</v>
      </c>
      <c r="BG48" s="28">
        <f t="shared" si="30"/>
        <v>3028.4</v>
      </c>
      <c r="BH48" s="28">
        <f t="shared" si="30"/>
        <v>0</v>
      </c>
      <c r="BI48" s="28">
        <v>181071</v>
      </c>
      <c r="BJ48" s="28">
        <v>237110</v>
      </c>
      <c r="BK48" s="28">
        <v>175693</v>
      </c>
      <c r="BL48" s="28">
        <v>58981</v>
      </c>
      <c r="BM48" s="28">
        <v>91295</v>
      </c>
      <c r="BN48" s="63">
        <v>408804</v>
      </c>
      <c r="BO48" s="63">
        <f>BO18</f>
        <v>88068.2</v>
      </c>
      <c r="BP48" s="63">
        <f t="shared" ref="BP48:BR48" si="31">BP18</f>
        <v>107671.70000000001</v>
      </c>
      <c r="BQ48" s="63">
        <f t="shared" si="31"/>
        <v>43235.3</v>
      </c>
      <c r="BR48" s="63">
        <f t="shared" si="31"/>
        <v>177751</v>
      </c>
      <c r="BS48" s="63">
        <v>0</v>
      </c>
      <c r="BT48" s="63">
        <v>50919</v>
      </c>
      <c r="BU48" s="63">
        <f>35495</f>
        <v>35495</v>
      </c>
      <c r="BV48" s="63">
        <f>74818</f>
        <v>74818</v>
      </c>
      <c r="BW48" s="63">
        <f>73153</f>
        <v>73153</v>
      </c>
      <c r="BX48" s="63">
        <f>90700</f>
        <v>90700</v>
      </c>
      <c r="BY48" s="63">
        <f>149778</f>
        <v>149778</v>
      </c>
      <c r="BZ48" s="63">
        <f>169841</f>
        <v>169841</v>
      </c>
      <c r="CA48" s="63">
        <v>236548.1</v>
      </c>
    </row>
    <row r="49" spans="1:79" x14ac:dyDescent="0.2">
      <c r="A49" s="21" t="s">
        <v>111</v>
      </c>
      <c r="B49" s="6" t="s">
        <v>51</v>
      </c>
      <c r="C49" s="20"/>
      <c r="D49" s="20"/>
      <c r="E49" s="20"/>
      <c r="F49" s="20"/>
      <c r="G49" s="20"/>
      <c r="H49" s="20"/>
      <c r="I49" s="20"/>
      <c r="J49" s="20">
        <f t="shared" si="23"/>
        <v>225798</v>
      </c>
      <c r="K49" s="20">
        <f t="shared" si="24"/>
        <v>353129.14</v>
      </c>
      <c r="L49" s="20">
        <f t="shared" si="25"/>
        <v>193424.6</v>
      </c>
      <c r="M49" s="20">
        <f t="shared" ref="M49" si="32">SUM(BG49:BJ49)</f>
        <v>176067.4</v>
      </c>
      <c r="N49" s="20">
        <f t="shared" si="10"/>
        <v>343972</v>
      </c>
      <c r="O49" s="20">
        <f t="shared" si="26"/>
        <v>205627</v>
      </c>
      <c r="P49" s="20">
        <f t="shared" si="27"/>
        <v>24271</v>
      </c>
      <c r="Q49" s="20">
        <f t="shared" si="12"/>
        <v>124249</v>
      </c>
      <c r="R49" s="8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109" t="s">
        <v>4</v>
      </c>
      <c r="AV49" s="109" t="s">
        <v>4</v>
      </c>
      <c r="AW49" s="109">
        <v>0</v>
      </c>
      <c r="AX49" s="109">
        <v>225798</v>
      </c>
      <c r="AY49" s="109">
        <v>34538.639999999999</v>
      </c>
      <c r="AZ49" s="109">
        <v>211804.59999999998</v>
      </c>
      <c r="BA49" s="109">
        <v>4304.3999999999996</v>
      </c>
      <c r="BB49" s="109">
        <v>102481.50000000001</v>
      </c>
      <c r="BC49" s="109">
        <v>88512.6</v>
      </c>
      <c r="BD49" s="109">
        <v>15375.300000000001</v>
      </c>
      <c r="BE49" s="109">
        <v>15569.7</v>
      </c>
      <c r="BF49" s="109">
        <v>73967</v>
      </c>
      <c r="BG49" s="109">
        <v>3028.4</v>
      </c>
      <c r="BH49" s="109">
        <v>0</v>
      </c>
      <c r="BI49" s="109">
        <v>87161</v>
      </c>
      <c r="BJ49" s="109">
        <v>85878</v>
      </c>
      <c r="BK49" s="109">
        <v>175693</v>
      </c>
      <c r="BL49" s="109">
        <v>18203</v>
      </c>
      <c r="BM49" s="109">
        <v>56250</v>
      </c>
      <c r="BN49" s="109">
        <v>93826</v>
      </c>
      <c r="BO49" s="109">
        <v>0</v>
      </c>
      <c r="BP49" s="109">
        <v>48729.599999999999</v>
      </c>
      <c r="BQ49" s="109">
        <v>18036.7</v>
      </c>
      <c r="BR49" s="109">
        <v>138860.70000000001</v>
      </c>
      <c r="BS49" s="109">
        <v>0</v>
      </c>
      <c r="BT49" s="109">
        <v>0</v>
      </c>
      <c r="BU49" s="109">
        <f>0</f>
        <v>0</v>
      </c>
      <c r="BV49" s="109">
        <f>24271</f>
        <v>24271</v>
      </c>
      <c r="BW49" s="109">
        <v>38035.5</v>
      </c>
      <c r="BX49" s="109">
        <v>17677.7</v>
      </c>
      <c r="BY49" s="109">
        <v>13232.2</v>
      </c>
      <c r="BZ49" s="109">
        <v>55303.600000000006</v>
      </c>
      <c r="CA49" s="109">
        <v>169266.7</v>
      </c>
    </row>
    <row r="50" spans="1:79" x14ac:dyDescent="0.2">
      <c r="A50" s="21" t="s">
        <v>112</v>
      </c>
      <c r="B50" s="6" t="s">
        <v>51</v>
      </c>
      <c r="C50" s="20"/>
      <c r="D50" s="20"/>
      <c r="E50" s="20"/>
      <c r="F50" s="20"/>
      <c r="G50" s="20"/>
      <c r="H50" s="20"/>
      <c r="I50" s="20"/>
      <c r="J50" s="20">
        <f t="shared" si="23"/>
        <v>253541</v>
      </c>
      <c r="K50" s="20">
        <f t="shared" si="24"/>
        <v>268737.8</v>
      </c>
      <c r="L50" s="20">
        <f t="shared" si="25"/>
        <v>346900.5</v>
      </c>
      <c r="M50" s="20">
        <f>SUM(BG50:BJ50)</f>
        <v>245141.2</v>
      </c>
      <c r="N50" s="20">
        <f t="shared" si="10"/>
        <v>337579</v>
      </c>
      <c r="O50" s="20">
        <f t="shared" si="26"/>
        <v>140581.4</v>
      </c>
      <c r="P50" s="20">
        <f t="shared" si="27"/>
        <v>73819</v>
      </c>
      <c r="Q50" s="20">
        <f t="shared" si="12"/>
        <v>52222.6</v>
      </c>
      <c r="R50" s="8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109" t="s">
        <v>4</v>
      </c>
      <c r="AV50" s="109" t="s">
        <v>4</v>
      </c>
      <c r="AW50" s="109">
        <v>56270</v>
      </c>
      <c r="AX50" s="109">
        <v>197271</v>
      </c>
      <c r="AY50" s="109">
        <v>0</v>
      </c>
      <c r="AZ50" s="109">
        <v>0</v>
      </c>
      <c r="BA50" s="109">
        <v>62925.700000000004</v>
      </c>
      <c r="BB50" s="109">
        <v>205812.1</v>
      </c>
      <c r="BC50" s="109">
        <v>0</v>
      </c>
      <c r="BD50" s="109">
        <v>73471.5</v>
      </c>
      <c r="BE50" s="109">
        <v>0</v>
      </c>
      <c r="BF50" s="109">
        <v>273429</v>
      </c>
      <c r="BG50" s="109" t="s">
        <v>4</v>
      </c>
      <c r="BH50" s="109">
        <v>0</v>
      </c>
      <c r="BI50" s="109">
        <v>93909.6</v>
      </c>
      <c r="BJ50" s="109">
        <v>151231.6</v>
      </c>
      <c r="BK50" s="109">
        <v>0</v>
      </c>
      <c r="BL50" s="109">
        <v>40778</v>
      </c>
      <c r="BM50" s="109">
        <v>9849</v>
      </c>
      <c r="BN50" s="109">
        <v>286952</v>
      </c>
      <c r="BO50" s="109">
        <v>78583.5</v>
      </c>
      <c r="BP50" s="109">
        <v>58942.1</v>
      </c>
      <c r="BQ50" s="109">
        <v>0</v>
      </c>
      <c r="BR50" s="109">
        <v>3055.8</v>
      </c>
      <c r="BS50" s="109">
        <v>0</v>
      </c>
      <c r="BT50" s="109">
        <v>50919</v>
      </c>
      <c r="BU50" s="109">
        <f>0</f>
        <v>0</v>
      </c>
      <c r="BV50" s="109">
        <f>22900</f>
        <v>22900</v>
      </c>
      <c r="BW50" s="109">
        <f>0</f>
        <v>0</v>
      </c>
      <c r="BX50" s="109">
        <v>35975.1</v>
      </c>
      <c r="BY50" s="109">
        <f>0</f>
        <v>0</v>
      </c>
      <c r="BZ50" s="109">
        <v>16247.5</v>
      </c>
      <c r="CA50" s="109">
        <v>0</v>
      </c>
    </row>
    <row r="51" spans="1:79" x14ac:dyDescent="0.2">
      <c r="A51" s="120" t="s">
        <v>113</v>
      </c>
      <c r="B51" s="23" t="s">
        <v>51</v>
      </c>
      <c r="C51" s="64"/>
      <c r="D51" s="64"/>
      <c r="E51" s="64"/>
      <c r="F51" s="64"/>
      <c r="G51" s="64"/>
      <c r="H51" s="64"/>
      <c r="I51" s="64"/>
      <c r="J51" s="29"/>
      <c r="K51" s="29"/>
      <c r="L51" s="29"/>
      <c r="M51" s="29"/>
      <c r="N51" s="64">
        <f>SUM(BK51:BN51)</f>
        <v>53223</v>
      </c>
      <c r="O51" s="64">
        <f t="shared" si="26"/>
        <v>70517.5</v>
      </c>
      <c r="P51" s="64">
        <f t="shared" si="27"/>
        <v>63142</v>
      </c>
      <c r="Q51" s="24">
        <f t="shared" si="12"/>
        <v>307000.7</v>
      </c>
      <c r="R51" s="8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110"/>
      <c r="BH51" s="110"/>
      <c r="BI51" s="110"/>
      <c r="BJ51" s="110"/>
      <c r="BK51" s="110"/>
      <c r="BL51" s="110"/>
      <c r="BM51" s="110">
        <v>34279</v>
      </c>
      <c r="BN51" s="110">
        <v>18944</v>
      </c>
      <c r="BO51" s="110">
        <v>9484.7000000000007</v>
      </c>
      <c r="BP51" s="110">
        <v>0</v>
      </c>
      <c r="BQ51" s="110">
        <v>25198.6</v>
      </c>
      <c r="BR51" s="110">
        <v>35834.199999999997</v>
      </c>
      <c r="BS51" s="110">
        <v>0</v>
      </c>
      <c r="BT51" s="110">
        <v>0</v>
      </c>
      <c r="BU51" s="110">
        <f>35495</f>
        <v>35495</v>
      </c>
      <c r="BV51" s="110">
        <f>27647</f>
        <v>27647</v>
      </c>
      <c r="BW51" s="110">
        <v>35117</v>
      </c>
      <c r="BX51" s="110">
        <v>37047.5</v>
      </c>
      <c r="BY51" s="110">
        <v>136545.9</v>
      </c>
      <c r="BZ51" s="110">
        <v>98290.3</v>
      </c>
      <c r="CA51" s="110">
        <v>67281.399999999994</v>
      </c>
    </row>
  </sheetData>
  <phoneticPr fontId="32" type="noConversion"/>
  <hyperlinks>
    <hyperlink ref="A3" location="Содержание!A1" display="К содержанию" xr:uid="{0D9EF48F-EEBA-48BF-871E-6740388855EA}"/>
    <hyperlink ref="A22" location="Содержание!A1" display="К содержанию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U60"/>
  <sheetViews>
    <sheetView showGridLines="0" zoomScaleNormal="100" workbookViewId="0">
      <pane xSplit="1" topLeftCell="H1" activePane="topRight" state="frozen"/>
      <selection pane="topRight" activeCell="P9" sqref="P9:P45"/>
    </sheetView>
  </sheetViews>
  <sheetFormatPr defaultColWidth="9.140625" defaultRowHeight="14.25" outlineLevelRow="1" outlineLevelCol="1" x14ac:dyDescent="0.2"/>
  <cols>
    <col min="1" max="1" width="122.42578125" style="38" customWidth="1"/>
    <col min="2" max="16" width="9.28515625" style="5" bestFit="1" customWidth="1"/>
    <col min="17" max="17" width="9.140625" style="5"/>
    <col min="18" max="39" width="9.140625" style="5" customWidth="1" outlineLevel="1"/>
    <col min="40" max="42" width="9.28515625" style="5" bestFit="1" customWidth="1" outlineLevel="1"/>
    <col min="43" max="43" width="8.28515625" style="5" bestFit="1" customWidth="1" outlineLevel="1"/>
    <col min="44" max="44" width="9.140625" style="38" outlineLevel="1"/>
    <col min="45" max="45" width="8.28515625" style="38" bestFit="1" customWidth="1" outlineLevel="1"/>
    <col min="46" max="47" width="9.140625" style="38" outlineLevel="1"/>
    <col min="48" max="16384" width="9.140625" style="38"/>
  </cols>
  <sheetData>
    <row r="2" spans="1:47" ht="18" x14ac:dyDescent="0.25">
      <c r="A2" s="51" t="s">
        <v>114</v>
      </c>
    </row>
    <row r="3" spans="1:47" ht="15" x14ac:dyDescent="0.25">
      <c r="A3" s="113" t="s">
        <v>23</v>
      </c>
    </row>
    <row r="5" spans="1:47" x14ac:dyDescent="0.2">
      <c r="A5" s="33" t="s">
        <v>34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1">
        <v>2025</v>
      </c>
      <c r="Q5" s="72"/>
      <c r="R5" s="71" t="s">
        <v>213</v>
      </c>
      <c r="S5" s="71" t="s">
        <v>214</v>
      </c>
      <c r="T5" s="71" t="s">
        <v>215</v>
      </c>
      <c r="U5" s="71" t="s">
        <v>216</v>
      </c>
      <c r="V5" s="71" t="s">
        <v>217</v>
      </c>
      <c r="W5" s="71" t="s">
        <v>218</v>
      </c>
      <c r="X5" s="71" t="s">
        <v>219</v>
      </c>
      <c r="Y5" s="71" t="s">
        <v>220</v>
      </c>
      <c r="Z5" s="71" t="s">
        <v>221</v>
      </c>
      <c r="AA5" s="71" t="s">
        <v>222</v>
      </c>
      <c r="AB5" s="71" t="s">
        <v>223</v>
      </c>
      <c r="AC5" s="71" t="s">
        <v>224</v>
      </c>
      <c r="AD5" s="71" t="s">
        <v>225</v>
      </c>
      <c r="AE5" s="71" t="s">
        <v>226</v>
      </c>
      <c r="AF5" s="71" t="s">
        <v>227</v>
      </c>
      <c r="AG5" s="71" t="s">
        <v>228</v>
      </c>
      <c r="AH5" s="71" t="s">
        <v>229</v>
      </c>
      <c r="AI5" s="71" t="s">
        <v>230</v>
      </c>
      <c r="AJ5" s="71" t="s">
        <v>231</v>
      </c>
      <c r="AK5" s="71" t="s">
        <v>232</v>
      </c>
      <c r="AL5" s="87" t="s">
        <v>233</v>
      </c>
      <c r="AM5" s="87" t="s">
        <v>234</v>
      </c>
      <c r="AN5" s="87" t="s">
        <v>235</v>
      </c>
      <c r="AO5" s="87" t="s">
        <v>236</v>
      </c>
      <c r="AP5" s="87" t="s">
        <v>237</v>
      </c>
      <c r="AQ5" s="87" t="s">
        <v>238</v>
      </c>
      <c r="AR5" s="87" t="s">
        <v>281</v>
      </c>
      <c r="AS5" s="87" t="s">
        <v>288</v>
      </c>
      <c r="AT5" s="87" t="s">
        <v>300</v>
      </c>
      <c r="AU5" s="87" t="s">
        <v>312</v>
      </c>
    </row>
    <row r="6" spans="1:47" hidden="1" outlineLevel="1" x14ac:dyDescent="0.2">
      <c r="A6" s="5" t="s">
        <v>116</v>
      </c>
      <c r="B6" s="32">
        <f t="shared" ref="B6:B45" si="0">SUM(R6:S6)</f>
        <v>19359</v>
      </c>
      <c r="C6" s="32">
        <f t="shared" ref="C6:C45" si="1">SUM(T6:U6)</f>
        <v>19424</v>
      </c>
      <c r="D6" s="32">
        <f t="shared" ref="D6:D45" si="2">SUM(V6:W6)</f>
        <v>29548</v>
      </c>
      <c r="E6" s="32">
        <f t="shared" ref="E6:E45" si="3">SUM(X6:Y6)</f>
        <v>37560</v>
      </c>
      <c r="F6" s="32">
        <f t="shared" ref="F6:F45" si="4">SUM(Z6:AA6)</f>
        <v>32474</v>
      </c>
      <c r="G6" s="32">
        <f t="shared" ref="G6:G45" si="5">SUM(AB6:AC6)</f>
        <v>33499</v>
      </c>
      <c r="H6" s="32">
        <f t="shared" ref="H6:H45" si="6">SUM(AD6:AE6)</f>
        <v>54964</v>
      </c>
      <c r="I6" s="32">
        <f t="shared" ref="I6:I45" si="7">SUM(AF6:AG6)</f>
        <v>58072</v>
      </c>
      <c r="J6" s="32">
        <f t="shared" ref="J6:J45" si="8">SUM(AH6:AI6)</f>
        <v>62609</v>
      </c>
      <c r="K6" s="32">
        <f>SUM(AJ6:AK6)</f>
        <v>51801</v>
      </c>
      <c r="L6" s="32">
        <f>SUM(AL6:AM6)</f>
        <v>53384</v>
      </c>
      <c r="M6" s="32"/>
      <c r="N6" s="32"/>
      <c r="O6" s="32"/>
      <c r="P6" s="32"/>
      <c r="R6" s="32">
        <v>8147</v>
      </c>
      <c r="S6" s="32">
        <v>11212</v>
      </c>
      <c r="T6" s="32">
        <v>8329</v>
      </c>
      <c r="U6" s="32">
        <v>11095</v>
      </c>
      <c r="V6" s="32">
        <v>12249</v>
      </c>
      <c r="W6" s="32">
        <v>17299</v>
      </c>
      <c r="X6" s="32">
        <v>8873</v>
      </c>
      <c r="Y6" s="32">
        <v>28687</v>
      </c>
      <c r="Z6" s="32">
        <v>13857</v>
      </c>
      <c r="AA6" s="32">
        <v>18617</v>
      </c>
      <c r="AB6" s="32">
        <v>11828</v>
      </c>
      <c r="AC6" s="32">
        <v>21671</v>
      </c>
      <c r="AD6" s="32">
        <v>21941</v>
      </c>
      <c r="AE6" s="32">
        <v>33023</v>
      </c>
      <c r="AF6" s="32">
        <v>17762</v>
      </c>
      <c r="AG6" s="32">
        <v>40310</v>
      </c>
      <c r="AH6" s="32">
        <v>30229</v>
      </c>
      <c r="AI6" s="32">
        <v>32380</v>
      </c>
      <c r="AJ6" s="32">
        <v>20873</v>
      </c>
      <c r="AK6" s="32">
        <v>30928</v>
      </c>
      <c r="AL6" s="32">
        <v>23120</v>
      </c>
      <c r="AM6" s="32">
        <v>30264</v>
      </c>
      <c r="AN6" s="32"/>
      <c r="AO6" s="32"/>
      <c r="AP6" s="32"/>
      <c r="AQ6" s="32"/>
      <c r="AR6" s="32"/>
      <c r="AS6" s="32"/>
      <c r="AT6" s="32"/>
      <c r="AU6" s="32"/>
    </row>
    <row r="7" spans="1:47" ht="25.5" hidden="1" outlineLevel="1" x14ac:dyDescent="0.2">
      <c r="A7" s="114" t="s">
        <v>117</v>
      </c>
      <c r="B7" s="32">
        <f t="shared" si="0"/>
        <v>0</v>
      </c>
      <c r="C7" s="32">
        <f t="shared" si="1"/>
        <v>0</v>
      </c>
      <c r="D7" s="32">
        <f t="shared" si="2"/>
        <v>0</v>
      </c>
      <c r="E7" s="32">
        <f t="shared" si="3"/>
        <v>0</v>
      </c>
      <c r="F7" s="32">
        <f t="shared" si="4"/>
        <v>0</v>
      </c>
      <c r="G7" s="32">
        <f t="shared" si="5"/>
        <v>0</v>
      </c>
      <c r="H7" s="32">
        <f t="shared" si="6"/>
        <v>0</v>
      </c>
      <c r="I7" s="32">
        <f t="shared" si="7"/>
        <v>0</v>
      </c>
      <c r="J7" s="32">
        <f t="shared" si="8"/>
        <v>10875</v>
      </c>
      <c r="K7" s="32">
        <f t="shared" ref="K7:K45" si="9">SUM(AJ7:AK7)</f>
        <v>18675</v>
      </c>
      <c r="L7" s="32">
        <f t="shared" ref="L7:L45" si="10">SUM(AL7:AM7)</f>
        <v>21885</v>
      </c>
      <c r="M7" s="32"/>
      <c r="N7" s="32"/>
      <c r="O7" s="32"/>
      <c r="P7" s="32"/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0</v>
      </c>
      <c r="AH7" s="32">
        <v>3686</v>
      </c>
      <c r="AI7" s="32">
        <v>7189</v>
      </c>
      <c r="AJ7" s="32">
        <v>5975</v>
      </c>
      <c r="AK7" s="32">
        <v>12700</v>
      </c>
      <c r="AL7" s="32">
        <v>10022</v>
      </c>
      <c r="AM7" s="32">
        <v>11863</v>
      </c>
      <c r="AN7" s="32"/>
      <c r="AO7" s="32"/>
      <c r="AP7" s="32"/>
      <c r="AQ7" s="32"/>
      <c r="AR7" s="32"/>
      <c r="AS7" s="32"/>
      <c r="AT7" s="32"/>
      <c r="AU7" s="32"/>
    </row>
    <row r="8" spans="1:47" hidden="1" outlineLevel="1" x14ac:dyDescent="0.2">
      <c r="A8" s="5" t="s">
        <v>118</v>
      </c>
      <c r="B8" s="32">
        <f t="shared" si="0"/>
        <v>3382</v>
      </c>
      <c r="C8" s="32">
        <f t="shared" si="1"/>
        <v>7470</v>
      </c>
      <c r="D8" s="32">
        <f t="shared" si="2"/>
        <v>10373</v>
      </c>
      <c r="E8" s="32">
        <f t="shared" si="3"/>
        <v>13921</v>
      </c>
      <c r="F8" s="32">
        <f t="shared" si="4"/>
        <v>9930</v>
      </c>
      <c r="G8" s="32">
        <f t="shared" si="5"/>
        <v>15523</v>
      </c>
      <c r="H8" s="32">
        <f t="shared" si="6"/>
        <v>15681</v>
      </c>
      <c r="I8" s="32">
        <f t="shared" si="7"/>
        <v>14255</v>
      </c>
      <c r="J8" s="32">
        <f t="shared" si="8"/>
        <v>10846</v>
      </c>
      <c r="K8" s="32">
        <f t="shared" si="9"/>
        <v>8179</v>
      </c>
      <c r="L8" s="32">
        <f t="shared" si="10"/>
        <v>11869</v>
      </c>
      <c r="M8" s="32"/>
      <c r="N8" s="32"/>
      <c r="O8" s="32"/>
      <c r="P8" s="32"/>
      <c r="R8" s="32">
        <v>1265</v>
      </c>
      <c r="S8" s="32">
        <v>2117</v>
      </c>
      <c r="T8" s="32">
        <v>3828</v>
      </c>
      <c r="U8" s="32">
        <v>3642</v>
      </c>
      <c r="V8" s="32">
        <v>4386</v>
      </c>
      <c r="W8" s="32">
        <v>5987</v>
      </c>
      <c r="X8" s="32">
        <v>5666</v>
      </c>
      <c r="Y8" s="32">
        <v>8255</v>
      </c>
      <c r="Z8" s="32">
        <v>4291</v>
      </c>
      <c r="AA8" s="32">
        <v>5639</v>
      </c>
      <c r="AB8" s="32">
        <v>7914</v>
      </c>
      <c r="AC8" s="32">
        <v>7609</v>
      </c>
      <c r="AD8" s="32">
        <v>7075</v>
      </c>
      <c r="AE8" s="32">
        <v>8606</v>
      </c>
      <c r="AF8" s="32">
        <v>6937</v>
      </c>
      <c r="AG8" s="32">
        <v>7318</v>
      </c>
      <c r="AH8" s="32">
        <v>5647</v>
      </c>
      <c r="AI8" s="32">
        <v>5199</v>
      </c>
      <c r="AJ8" s="32">
        <v>4020</v>
      </c>
      <c r="AK8" s="32">
        <v>4159</v>
      </c>
      <c r="AL8" s="32">
        <v>6742</v>
      </c>
      <c r="AM8" s="32">
        <v>5127</v>
      </c>
      <c r="AN8" s="32"/>
      <c r="AO8" s="32"/>
      <c r="AP8" s="32"/>
      <c r="AQ8" s="32"/>
      <c r="AR8" s="32"/>
      <c r="AS8" s="32"/>
      <c r="AT8" s="32"/>
      <c r="AU8" s="32"/>
    </row>
    <row r="9" spans="1:47" collapsed="1" x14ac:dyDescent="0.2">
      <c r="A9" s="34" t="s">
        <v>24</v>
      </c>
      <c r="B9" s="75">
        <f t="shared" si="0"/>
        <v>22741</v>
      </c>
      <c r="C9" s="75">
        <f t="shared" si="1"/>
        <v>26894</v>
      </c>
      <c r="D9" s="75">
        <f t="shared" si="2"/>
        <v>39921</v>
      </c>
      <c r="E9" s="75">
        <f t="shared" si="3"/>
        <v>51481</v>
      </c>
      <c r="F9" s="75">
        <f t="shared" si="4"/>
        <v>42404</v>
      </c>
      <c r="G9" s="75">
        <f t="shared" si="5"/>
        <v>49022</v>
      </c>
      <c r="H9" s="75">
        <f t="shared" si="6"/>
        <v>70645</v>
      </c>
      <c r="I9" s="75">
        <f t="shared" si="7"/>
        <v>72327</v>
      </c>
      <c r="J9" s="75">
        <f t="shared" si="8"/>
        <v>84330</v>
      </c>
      <c r="K9" s="75">
        <f t="shared" si="9"/>
        <v>78655</v>
      </c>
      <c r="L9" s="75">
        <f t="shared" si="10"/>
        <v>87138</v>
      </c>
      <c r="M9" s="75">
        <f>SUM(AN9:AO9)</f>
        <v>80556</v>
      </c>
      <c r="N9" s="75">
        <f>90652</f>
        <v>90652</v>
      </c>
      <c r="O9" s="75">
        <f>130946</f>
        <v>130946</v>
      </c>
      <c r="P9" s="75">
        <f>153627</f>
        <v>153627</v>
      </c>
      <c r="R9" s="75">
        <v>9412</v>
      </c>
      <c r="S9" s="75">
        <v>13329</v>
      </c>
      <c r="T9" s="75">
        <v>12157</v>
      </c>
      <c r="U9" s="75">
        <v>14737</v>
      </c>
      <c r="V9" s="75">
        <v>16635</v>
      </c>
      <c r="W9" s="75">
        <v>23286</v>
      </c>
      <c r="X9" s="75">
        <v>14539</v>
      </c>
      <c r="Y9" s="75">
        <v>36942</v>
      </c>
      <c r="Z9" s="75">
        <v>18148</v>
      </c>
      <c r="AA9" s="75">
        <v>24256</v>
      </c>
      <c r="AB9" s="75">
        <v>19742</v>
      </c>
      <c r="AC9" s="75">
        <v>29280</v>
      </c>
      <c r="AD9" s="75">
        <v>29016</v>
      </c>
      <c r="AE9" s="75">
        <v>41629</v>
      </c>
      <c r="AF9" s="75">
        <v>24699</v>
      </c>
      <c r="AG9" s="75">
        <v>47628</v>
      </c>
      <c r="AH9" s="75">
        <v>39562</v>
      </c>
      <c r="AI9" s="75">
        <v>44768</v>
      </c>
      <c r="AJ9" s="75">
        <v>30868</v>
      </c>
      <c r="AK9" s="75">
        <v>47787</v>
      </c>
      <c r="AL9" s="75">
        <v>39884</v>
      </c>
      <c r="AM9" s="75">
        <v>47254</v>
      </c>
      <c r="AN9" s="75">
        <v>32740</v>
      </c>
      <c r="AO9" s="75">
        <v>47816</v>
      </c>
      <c r="AP9" s="75">
        <f>33499</f>
        <v>33499</v>
      </c>
      <c r="AQ9" s="75">
        <f>N9-AP9</f>
        <v>57153</v>
      </c>
      <c r="AR9" s="75">
        <f>57360</f>
        <v>57360</v>
      </c>
      <c r="AS9" s="75">
        <f>O9-AR9</f>
        <v>73586</v>
      </c>
      <c r="AT9" s="75">
        <f>77413</f>
        <v>77413</v>
      </c>
      <c r="AU9" s="75">
        <f>P9-AT9</f>
        <v>76214</v>
      </c>
    </row>
    <row r="10" spans="1:47" hidden="1" outlineLevel="1" x14ac:dyDescent="0.2">
      <c r="A10" s="5" t="s">
        <v>119</v>
      </c>
      <c r="B10" s="32">
        <f t="shared" si="0"/>
        <v>0</v>
      </c>
      <c r="C10" s="32">
        <f t="shared" si="1"/>
        <v>0</v>
      </c>
      <c r="D10" s="32">
        <f t="shared" si="2"/>
        <v>0</v>
      </c>
      <c r="E10" s="32">
        <f t="shared" si="3"/>
        <v>0</v>
      </c>
      <c r="F10" s="32">
        <f t="shared" si="4"/>
        <v>0</v>
      </c>
      <c r="G10" s="32">
        <f t="shared" si="5"/>
        <v>0</v>
      </c>
      <c r="H10" s="32">
        <f t="shared" si="6"/>
        <v>0</v>
      </c>
      <c r="I10" s="32">
        <f t="shared" si="7"/>
        <v>-42013</v>
      </c>
      <c r="J10" s="32">
        <f t="shared" si="8"/>
        <v>-44150</v>
      </c>
      <c r="K10" s="32">
        <f t="shared" si="9"/>
        <v>-33744</v>
      </c>
      <c r="L10" s="32">
        <f t="shared" si="10"/>
        <v>-31676</v>
      </c>
      <c r="M10" s="32">
        <f t="shared" ref="M10:N45" si="11">SUM(AN10:AO10)</f>
        <v>0</v>
      </c>
      <c r="N10" s="32">
        <f t="shared" si="11"/>
        <v>0</v>
      </c>
      <c r="O10" s="32"/>
      <c r="P10" s="32"/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-42013</v>
      </c>
      <c r="AH10" s="32">
        <v>-21497</v>
      </c>
      <c r="AI10" s="32">
        <v>-22653</v>
      </c>
      <c r="AJ10" s="32">
        <v>-14155</v>
      </c>
      <c r="AK10" s="32">
        <v>-19589</v>
      </c>
      <c r="AL10" s="32">
        <v>-14470</v>
      </c>
      <c r="AM10" s="75">
        <v>-17206</v>
      </c>
      <c r="AN10" s="75"/>
      <c r="AO10" s="75"/>
      <c r="AP10" s="75"/>
      <c r="AQ10" s="75">
        <f t="shared" ref="AQ10:AQ45" si="12">N10-AP10</f>
        <v>0</v>
      </c>
      <c r="AR10" s="75"/>
      <c r="AS10" s="75">
        <f t="shared" ref="AS10:AS13" si="13">O10-AR10</f>
        <v>0</v>
      </c>
      <c r="AT10" s="75"/>
      <c r="AU10" s="75">
        <f t="shared" ref="AU10:AU45" si="14">P10-AT10</f>
        <v>0</v>
      </c>
    </row>
    <row r="11" spans="1:47" hidden="1" outlineLevel="1" x14ac:dyDescent="0.2">
      <c r="A11" s="5" t="s">
        <v>120</v>
      </c>
      <c r="B11" s="32">
        <f t="shared" si="0"/>
        <v>0</v>
      </c>
      <c r="C11" s="32">
        <f t="shared" si="1"/>
        <v>0</v>
      </c>
      <c r="D11" s="32">
        <f t="shared" si="2"/>
        <v>0</v>
      </c>
      <c r="E11" s="32">
        <f t="shared" si="3"/>
        <v>0</v>
      </c>
      <c r="F11" s="32">
        <f t="shared" si="4"/>
        <v>0</v>
      </c>
      <c r="G11" s="32">
        <f t="shared" si="5"/>
        <v>0</v>
      </c>
      <c r="H11" s="32">
        <f t="shared" si="6"/>
        <v>0</v>
      </c>
      <c r="I11" s="32">
        <f t="shared" si="7"/>
        <v>0</v>
      </c>
      <c r="J11" s="32">
        <f t="shared" si="8"/>
        <v>-9592</v>
      </c>
      <c r="K11" s="32">
        <f t="shared" si="9"/>
        <v>-15605</v>
      </c>
      <c r="L11" s="32">
        <f t="shared" si="10"/>
        <v>-17904</v>
      </c>
      <c r="M11" s="32">
        <f t="shared" si="11"/>
        <v>0</v>
      </c>
      <c r="N11" s="32">
        <f t="shared" si="11"/>
        <v>0</v>
      </c>
      <c r="O11" s="32"/>
      <c r="P11" s="32"/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-3440</v>
      </c>
      <c r="AI11" s="32">
        <v>-6152</v>
      </c>
      <c r="AJ11" s="32">
        <v>-5457</v>
      </c>
      <c r="AK11" s="32">
        <v>-10148</v>
      </c>
      <c r="AL11" s="32">
        <v>-7583</v>
      </c>
      <c r="AM11" s="75">
        <v>-10321</v>
      </c>
      <c r="AN11" s="75"/>
      <c r="AO11" s="75"/>
      <c r="AP11" s="75"/>
      <c r="AQ11" s="75">
        <f t="shared" si="12"/>
        <v>0</v>
      </c>
      <c r="AR11" s="75"/>
      <c r="AS11" s="75">
        <f t="shared" si="13"/>
        <v>0</v>
      </c>
      <c r="AT11" s="75"/>
      <c r="AU11" s="75">
        <f t="shared" si="14"/>
        <v>0</v>
      </c>
    </row>
    <row r="12" spans="1:47" hidden="1" outlineLevel="1" x14ac:dyDescent="0.2">
      <c r="A12" s="5" t="s">
        <v>121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0</v>
      </c>
      <c r="H12" s="32">
        <f t="shared" si="6"/>
        <v>0</v>
      </c>
      <c r="I12" s="32">
        <f t="shared" si="7"/>
        <v>-13259</v>
      </c>
      <c r="J12" s="32">
        <f t="shared" si="8"/>
        <v>-10531</v>
      </c>
      <c r="K12" s="32">
        <f t="shared" si="9"/>
        <v>-7391</v>
      </c>
      <c r="L12" s="32">
        <f t="shared" si="10"/>
        <v>-9776</v>
      </c>
      <c r="M12" s="32">
        <f t="shared" si="11"/>
        <v>0</v>
      </c>
      <c r="N12" s="32">
        <f t="shared" si="11"/>
        <v>0</v>
      </c>
      <c r="O12" s="32"/>
      <c r="P12" s="32"/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-13259</v>
      </c>
      <c r="AH12" s="32">
        <v>-5526</v>
      </c>
      <c r="AI12" s="32">
        <v>-5005</v>
      </c>
      <c r="AJ12" s="32">
        <v>-3738</v>
      </c>
      <c r="AK12" s="32">
        <v>-3653</v>
      </c>
      <c r="AL12" s="32">
        <v>-4033</v>
      </c>
      <c r="AM12" s="75">
        <v>-5743</v>
      </c>
      <c r="AN12" s="75"/>
      <c r="AO12" s="75"/>
      <c r="AP12" s="75"/>
      <c r="AQ12" s="75">
        <f t="shared" si="12"/>
        <v>0</v>
      </c>
      <c r="AR12" s="75"/>
      <c r="AS12" s="75">
        <f t="shared" si="13"/>
        <v>0</v>
      </c>
      <c r="AT12" s="75"/>
      <c r="AU12" s="75">
        <f t="shared" si="14"/>
        <v>0</v>
      </c>
    </row>
    <row r="13" spans="1:47" collapsed="1" x14ac:dyDescent="0.2">
      <c r="A13" s="34" t="s">
        <v>115</v>
      </c>
      <c r="B13" s="75">
        <f t="shared" si="0"/>
        <v>-11888</v>
      </c>
      <c r="C13" s="75">
        <f t="shared" si="1"/>
        <v>-17494</v>
      </c>
      <c r="D13" s="75">
        <f t="shared" si="2"/>
        <v>-27553</v>
      </c>
      <c r="E13" s="75">
        <f t="shared" si="3"/>
        <v>-35685</v>
      </c>
      <c r="F13" s="75">
        <f t="shared" si="4"/>
        <v>-29405</v>
      </c>
      <c r="G13" s="75">
        <f t="shared" si="5"/>
        <v>-36813</v>
      </c>
      <c r="H13" s="75">
        <f t="shared" si="6"/>
        <v>-52644</v>
      </c>
      <c r="I13" s="75">
        <f t="shared" si="7"/>
        <v>-55272</v>
      </c>
      <c r="J13" s="75">
        <f t="shared" si="8"/>
        <v>-64273</v>
      </c>
      <c r="K13" s="75">
        <f t="shared" si="9"/>
        <v>-56740</v>
      </c>
      <c r="L13" s="75">
        <f t="shared" si="10"/>
        <v>-59356</v>
      </c>
      <c r="M13" s="75">
        <f t="shared" si="11"/>
        <v>-52353</v>
      </c>
      <c r="N13" s="75">
        <f>-60681</f>
        <v>-60681</v>
      </c>
      <c r="O13" s="75">
        <f>-89568</f>
        <v>-89568</v>
      </c>
      <c r="P13" s="75">
        <v>-112228</v>
      </c>
      <c r="R13" s="75">
        <v>-4753</v>
      </c>
      <c r="S13" s="75">
        <v>-7135</v>
      </c>
      <c r="T13" s="75">
        <v>-7797</v>
      </c>
      <c r="U13" s="75">
        <v>-9697</v>
      </c>
      <c r="V13" s="75">
        <v>-11064</v>
      </c>
      <c r="W13" s="75">
        <v>-16489</v>
      </c>
      <c r="X13" s="75">
        <v>-10759</v>
      </c>
      <c r="Y13" s="75">
        <v>-24926</v>
      </c>
      <c r="Z13" s="75">
        <v>-12584</v>
      </c>
      <c r="AA13" s="75">
        <v>-16821</v>
      </c>
      <c r="AB13" s="75">
        <v>-15685</v>
      </c>
      <c r="AC13" s="75">
        <v>-21128</v>
      </c>
      <c r="AD13" s="75">
        <v>-22908</v>
      </c>
      <c r="AE13" s="75">
        <v>-29736</v>
      </c>
      <c r="AF13" s="75">
        <v>-19126</v>
      </c>
      <c r="AG13" s="75">
        <v>-36146</v>
      </c>
      <c r="AH13" s="75">
        <v>-30463</v>
      </c>
      <c r="AI13" s="75">
        <v>-33810</v>
      </c>
      <c r="AJ13" s="75">
        <v>-23350</v>
      </c>
      <c r="AK13" s="75">
        <v>-33390</v>
      </c>
      <c r="AL13" s="75">
        <v>-26086</v>
      </c>
      <c r="AM13" s="75">
        <v>-33270</v>
      </c>
      <c r="AN13" s="75">
        <v>-22982</v>
      </c>
      <c r="AO13" s="75">
        <v>-29371</v>
      </c>
      <c r="AP13" s="75">
        <v>-22253</v>
      </c>
      <c r="AQ13" s="75">
        <f t="shared" si="12"/>
        <v>-38428</v>
      </c>
      <c r="AR13" s="75">
        <f>-37792</f>
        <v>-37792</v>
      </c>
      <c r="AS13" s="75">
        <f t="shared" si="13"/>
        <v>-51776</v>
      </c>
      <c r="AT13" s="75">
        <f>-56526</f>
        <v>-56526</v>
      </c>
      <c r="AU13" s="75">
        <f>P13-AT13</f>
        <v>-55702</v>
      </c>
    </row>
    <row r="14" spans="1:47" hidden="1" outlineLevel="1" x14ac:dyDescent="0.2">
      <c r="A14" s="5" t="s">
        <v>189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0</v>
      </c>
      <c r="F14" s="32">
        <f t="shared" si="4"/>
        <v>0</v>
      </c>
      <c r="G14" s="32">
        <f t="shared" si="5"/>
        <v>0</v>
      </c>
      <c r="H14" s="32">
        <f t="shared" si="6"/>
        <v>0</v>
      </c>
      <c r="I14" s="32">
        <f t="shared" si="7"/>
        <v>16059</v>
      </c>
      <c r="J14" s="32">
        <f t="shared" si="8"/>
        <v>18459</v>
      </c>
      <c r="K14" s="32">
        <f t="shared" si="9"/>
        <v>18057</v>
      </c>
      <c r="L14" s="32">
        <f t="shared" si="10"/>
        <v>21708</v>
      </c>
      <c r="M14" s="32">
        <f t="shared" si="11"/>
        <v>0</v>
      </c>
      <c r="N14" s="32">
        <f t="shared" si="11"/>
        <v>0</v>
      </c>
      <c r="O14" s="32"/>
      <c r="P14" s="32"/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16059</v>
      </c>
      <c r="AH14" s="32">
        <v>8732</v>
      </c>
      <c r="AI14" s="32">
        <v>9727</v>
      </c>
      <c r="AJ14" s="32">
        <v>6718</v>
      </c>
      <c r="AK14" s="32">
        <v>11339</v>
      </c>
      <c r="AL14" s="32">
        <v>8650</v>
      </c>
      <c r="AM14" s="32">
        <v>13058</v>
      </c>
      <c r="AN14" s="32"/>
      <c r="AO14" s="32"/>
      <c r="AP14" s="32"/>
      <c r="AQ14" s="32">
        <f t="shared" si="12"/>
        <v>0</v>
      </c>
      <c r="AR14" s="32"/>
      <c r="AS14" s="32"/>
      <c r="AT14" s="32"/>
      <c r="AU14" s="32">
        <f t="shared" si="14"/>
        <v>0</v>
      </c>
    </row>
    <row r="15" spans="1:47" hidden="1" outlineLevel="1" x14ac:dyDescent="0.2">
      <c r="A15" s="5" t="s">
        <v>190</v>
      </c>
      <c r="B15" s="32">
        <f t="shared" si="0"/>
        <v>0</v>
      </c>
      <c r="C15" s="32">
        <f t="shared" si="1"/>
        <v>0</v>
      </c>
      <c r="D15" s="32">
        <f t="shared" si="2"/>
        <v>0</v>
      </c>
      <c r="E15" s="32">
        <f t="shared" si="3"/>
        <v>0</v>
      </c>
      <c r="F15" s="32">
        <f t="shared" si="4"/>
        <v>0</v>
      </c>
      <c r="G15" s="32">
        <f t="shared" si="5"/>
        <v>0</v>
      </c>
      <c r="H15" s="32">
        <f t="shared" si="6"/>
        <v>0</v>
      </c>
      <c r="I15" s="32">
        <f t="shared" si="7"/>
        <v>0</v>
      </c>
      <c r="J15" s="32">
        <f t="shared" si="8"/>
        <v>1283</v>
      </c>
      <c r="K15" s="32">
        <f t="shared" si="9"/>
        <v>3070</v>
      </c>
      <c r="L15" s="32">
        <f t="shared" si="10"/>
        <v>3981</v>
      </c>
      <c r="M15" s="32">
        <f t="shared" si="11"/>
        <v>0</v>
      </c>
      <c r="N15" s="32">
        <f t="shared" si="11"/>
        <v>0</v>
      </c>
      <c r="O15" s="32"/>
      <c r="P15" s="32"/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246</v>
      </c>
      <c r="AI15" s="32">
        <v>1037</v>
      </c>
      <c r="AJ15" s="32">
        <v>518</v>
      </c>
      <c r="AK15" s="32">
        <v>2552</v>
      </c>
      <c r="AL15" s="32">
        <v>2439</v>
      </c>
      <c r="AM15" s="32">
        <v>1542</v>
      </c>
      <c r="AN15" s="32"/>
      <c r="AO15" s="32"/>
      <c r="AP15" s="32"/>
      <c r="AQ15" s="32">
        <f t="shared" si="12"/>
        <v>0</v>
      </c>
      <c r="AR15" s="32"/>
      <c r="AS15" s="32"/>
      <c r="AT15" s="32"/>
      <c r="AU15" s="32">
        <f t="shared" si="14"/>
        <v>0</v>
      </c>
    </row>
    <row r="16" spans="1:47" hidden="1" outlineLevel="1" x14ac:dyDescent="0.2">
      <c r="A16" s="5" t="s">
        <v>191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0</v>
      </c>
      <c r="F16" s="32">
        <f t="shared" si="4"/>
        <v>0</v>
      </c>
      <c r="G16" s="32">
        <f t="shared" si="5"/>
        <v>0</v>
      </c>
      <c r="H16" s="32">
        <f t="shared" si="6"/>
        <v>0</v>
      </c>
      <c r="I16" s="32">
        <f t="shared" si="7"/>
        <v>996</v>
      </c>
      <c r="J16" s="32">
        <f t="shared" si="8"/>
        <v>315</v>
      </c>
      <c r="K16" s="32">
        <f t="shared" si="9"/>
        <v>788</v>
      </c>
      <c r="L16" s="32">
        <f t="shared" si="10"/>
        <v>2093</v>
      </c>
      <c r="M16" s="32">
        <f t="shared" si="11"/>
        <v>0</v>
      </c>
      <c r="N16" s="32">
        <f t="shared" si="11"/>
        <v>0</v>
      </c>
      <c r="O16" s="32"/>
      <c r="P16" s="32"/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996</v>
      </c>
      <c r="AH16" s="32">
        <v>121</v>
      </c>
      <c r="AI16" s="32">
        <v>194</v>
      </c>
      <c r="AJ16" s="32">
        <v>282</v>
      </c>
      <c r="AK16" s="32">
        <v>506</v>
      </c>
      <c r="AL16" s="32">
        <v>2709</v>
      </c>
      <c r="AM16" s="32">
        <v>-616</v>
      </c>
      <c r="AN16" s="32"/>
      <c r="AO16" s="32"/>
      <c r="AP16" s="32"/>
      <c r="AQ16" s="32">
        <f t="shared" si="12"/>
        <v>0</v>
      </c>
      <c r="AR16" s="32"/>
      <c r="AS16" s="32"/>
      <c r="AT16" s="32"/>
      <c r="AU16" s="32">
        <f t="shared" si="14"/>
        <v>0</v>
      </c>
    </row>
    <row r="17" spans="1:47" collapsed="1" x14ac:dyDescent="0.2">
      <c r="A17" s="35" t="s">
        <v>25</v>
      </c>
      <c r="B17" s="76">
        <f t="shared" si="0"/>
        <v>10853</v>
      </c>
      <c r="C17" s="76">
        <f t="shared" si="1"/>
        <v>9400</v>
      </c>
      <c r="D17" s="76">
        <f t="shared" si="2"/>
        <v>12368</v>
      </c>
      <c r="E17" s="76">
        <f t="shared" si="3"/>
        <v>15796</v>
      </c>
      <c r="F17" s="76">
        <f t="shared" si="4"/>
        <v>12999</v>
      </c>
      <c r="G17" s="76">
        <f t="shared" si="5"/>
        <v>12209</v>
      </c>
      <c r="H17" s="76">
        <f t="shared" si="6"/>
        <v>18001</v>
      </c>
      <c r="I17" s="76">
        <f t="shared" si="7"/>
        <v>17055</v>
      </c>
      <c r="J17" s="76">
        <f t="shared" si="8"/>
        <v>20057</v>
      </c>
      <c r="K17" s="76">
        <f t="shared" si="9"/>
        <v>21915</v>
      </c>
      <c r="L17" s="76">
        <f t="shared" si="10"/>
        <v>27782</v>
      </c>
      <c r="M17" s="76">
        <f t="shared" si="11"/>
        <v>28203</v>
      </c>
      <c r="N17" s="76">
        <v>29971</v>
      </c>
      <c r="O17" s="76">
        <f>41378</f>
        <v>41378</v>
      </c>
      <c r="P17" s="76">
        <v>41399</v>
      </c>
      <c r="Q17" s="30"/>
      <c r="R17" s="76">
        <v>4659</v>
      </c>
      <c r="S17" s="76">
        <v>6194</v>
      </c>
      <c r="T17" s="76">
        <v>4360</v>
      </c>
      <c r="U17" s="76">
        <v>5040</v>
      </c>
      <c r="V17" s="76">
        <v>5571</v>
      </c>
      <c r="W17" s="76">
        <v>6797</v>
      </c>
      <c r="X17" s="76">
        <v>3780</v>
      </c>
      <c r="Y17" s="76">
        <v>12016</v>
      </c>
      <c r="Z17" s="76">
        <v>5564</v>
      </c>
      <c r="AA17" s="76">
        <v>7435</v>
      </c>
      <c r="AB17" s="76">
        <v>4057</v>
      </c>
      <c r="AC17" s="76">
        <v>8152</v>
      </c>
      <c r="AD17" s="76">
        <v>6108</v>
      </c>
      <c r="AE17" s="76">
        <v>11893</v>
      </c>
      <c r="AF17" s="76">
        <v>5573</v>
      </c>
      <c r="AG17" s="76">
        <v>11482</v>
      </c>
      <c r="AH17" s="76">
        <v>9099</v>
      </c>
      <c r="AI17" s="76">
        <v>10958</v>
      </c>
      <c r="AJ17" s="76">
        <v>7518</v>
      </c>
      <c r="AK17" s="76">
        <v>14397</v>
      </c>
      <c r="AL17" s="77">
        <v>13798</v>
      </c>
      <c r="AM17" s="77">
        <v>13984</v>
      </c>
      <c r="AN17" s="77">
        <v>9758</v>
      </c>
      <c r="AO17" s="77">
        <v>18445</v>
      </c>
      <c r="AP17" s="77">
        <f>AP9+AP13</f>
        <v>11246</v>
      </c>
      <c r="AQ17" s="77">
        <f t="shared" si="12"/>
        <v>18725</v>
      </c>
      <c r="AR17" s="77">
        <f>AR9+AR13</f>
        <v>19568</v>
      </c>
      <c r="AS17" s="77">
        <f t="shared" ref="AS17" si="15">O17-AR17</f>
        <v>21810</v>
      </c>
      <c r="AT17" s="77">
        <f>AT9+AT13</f>
        <v>20887</v>
      </c>
      <c r="AU17" s="77">
        <f t="shared" si="14"/>
        <v>20512</v>
      </c>
    </row>
    <row r="18" spans="1:47" ht="15" x14ac:dyDescent="0.25">
      <c r="A18" s="3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M18" s="32"/>
      <c r="AN18" s="32"/>
      <c r="AO18" s="32"/>
      <c r="AP18" s="32"/>
      <c r="AQ18" s="32"/>
      <c r="AR18" s="32"/>
      <c r="AS18" s="32"/>
      <c r="AT18" s="32"/>
      <c r="AU18" s="32"/>
    </row>
    <row r="19" spans="1:47" x14ac:dyDescent="0.2">
      <c r="A19" s="5" t="s">
        <v>311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>
        <f>1449</f>
        <v>1449</v>
      </c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M19" s="32"/>
      <c r="AN19" s="32"/>
      <c r="AO19" s="32"/>
      <c r="AP19" s="32"/>
      <c r="AQ19" s="32"/>
      <c r="AR19" s="32"/>
      <c r="AS19" s="32"/>
      <c r="AT19" s="32"/>
      <c r="AU19" s="32">
        <f t="shared" si="14"/>
        <v>1449</v>
      </c>
    </row>
    <row r="20" spans="1:47" x14ac:dyDescent="0.2">
      <c r="A20" s="5" t="s">
        <v>122</v>
      </c>
      <c r="B20" s="32">
        <f t="shared" si="0"/>
        <v>-2328</v>
      </c>
      <c r="C20" s="32">
        <f t="shared" si="1"/>
        <v>-2324</v>
      </c>
      <c r="D20" s="32">
        <f t="shared" si="2"/>
        <v>-3157</v>
      </c>
      <c r="E20" s="32">
        <f t="shared" si="3"/>
        <v>-4178</v>
      </c>
      <c r="F20" s="32">
        <f t="shared" si="4"/>
        <v>-4348</v>
      </c>
      <c r="G20" s="32">
        <f t="shared" si="5"/>
        <v>-4454</v>
      </c>
      <c r="H20" s="32">
        <f t="shared" si="6"/>
        <v>-5052</v>
      </c>
      <c r="I20" s="32">
        <f t="shared" si="7"/>
        <v>-6922</v>
      </c>
      <c r="J20" s="32">
        <f t="shared" si="8"/>
        <v>-7280</v>
      </c>
      <c r="K20" s="32">
        <f t="shared" si="9"/>
        <v>-5235</v>
      </c>
      <c r="L20" s="32">
        <f t="shared" si="10"/>
        <v>-5784</v>
      </c>
      <c r="M20" s="32">
        <f t="shared" si="11"/>
        <v>-7259</v>
      </c>
      <c r="N20" s="32">
        <v>-7475</v>
      </c>
      <c r="O20" s="32">
        <f>-8455</f>
        <v>-8455</v>
      </c>
      <c r="P20" s="32">
        <v>-7883</v>
      </c>
      <c r="R20" s="32">
        <v>-1020</v>
      </c>
      <c r="S20" s="32">
        <v>-1308</v>
      </c>
      <c r="T20" s="32">
        <v>-1195</v>
      </c>
      <c r="U20" s="32">
        <v>-1129</v>
      </c>
      <c r="V20" s="32">
        <v>-1387</v>
      </c>
      <c r="W20" s="32">
        <v>-1770</v>
      </c>
      <c r="X20" s="32">
        <v>-1957</v>
      </c>
      <c r="Y20" s="32">
        <v>-2221</v>
      </c>
      <c r="Z20" s="32">
        <v>-2021</v>
      </c>
      <c r="AA20" s="32">
        <v>-2327</v>
      </c>
      <c r="AB20" s="32">
        <v>-1958</v>
      </c>
      <c r="AC20" s="32">
        <v>-2496</v>
      </c>
      <c r="AD20" s="32">
        <v>-1990</v>
      </c>
      <c r="AE20" s="32">
        <v>-3062</v>
      </c>
      <c r="AF20" s="32">
        <v>-3456</v>
      </c>
      <c r="AG20" s="32">
        <v>-3466</v>
      </c>
      <c r="AH20" s="32">
        <v>-3081</v>
      </c>
      <c r="AI20" s="32">
        <v>-4199</v>
      </c>
      <c r="AJ20" s="32">
        <v>-2319</v>
      </c>
      <c r="AK20" s="32">
        <v>-2916</v>
      </c>
      <c r="AL20" s="32">
        <v>-2453</v>
      </c>
      <c r="AM20" s="32">
        <v>-3331</v>
      </c>
      <c r="AN20" s="32">
        <v>-2558</v>
      </c>
      <c r="AO20" s="32">
        <v>-4701</v>
      </c>
      <c r="AP20" s="32">
        <v>-3243</v>
      </c>
      <c r="AQ20" s="32">
        <f t="shared" si="12"/>
        <v>-4232</v>
      </c>
      <c r="AR20" s="32">
        <f>-3702</f>
        <v>-3702</v>
      </c>
      <c r="AS20" s="32">
        <f t="shared" ref="AS20:AS35" si="16">O20-AR20</f>
        <v>-4753</v>
      </c>
      <c r="AT20" s="32">
        <f>-3498</f>
        <v>-3498</v>
      </c>
      <c r="AU20" s="32">
        <f t="shared" si="14"/>
        <v>-4385</v>
      </c>
    </row>
    <row r="21" spans="1:47" x14ac:dyDescent="0.2">
      <c r="A21" s="5" t="s">
        <v>123</v>
      </c>
      <c r="B21" s="32">
        <f t="shared" si="0"/>
        <v>-854</v>
      </c>
      <c r="C21" s="32">
        <f t="shared" si="1"/>
        <v>-958</v>
      </c>
      <c r="D21" s="32">
        <f t="shared" si="2"/>
        <v>-1023</v>
      </c>
      <c r="E21" s="32">
        <f t="shared" si="3"/>
        <v>-1474</v>
      </c>
      <c r="F21" s="32">
        <f t="shared" si="4"/>
        <v>-1411</v>
      </c>
      <c r="G21" s="32">
        <f t="shared" si="5"/>
        <v>-1984</v>
      </c>
      <c r="H21" s="32">
        <f t="shared" si="6"/>
        <v>-2930</v>
      </c>
      <c r="I21" s="32">
        <f t="shared" si="7"/>
        <v>-3318</v>
      </c>
      <c r="J21" s="32">
        <f t="shared" si="8"/>
        <v>-4822</v>
      </c>
      <c r="K21" s="32">
        <f t="shared" si="9"/>
        <v>-4560</v>
      </c>
      <c r="L21" s="32">
        <f t="shared" si="10"/>
        <v>-4639</v>
      </c>
      <c r="M21" s="32">
        <f t="shared" si="11"/>
        <v>-5001</v>
      </c>
      <c r="N21" s="32">
        <v>-5158</v>
      </c>
      <c r="O21" s="32">
        <f>-6188</f>
        <v>-6188</v>
      </c>
      <c r="P21" s="32">
        <f>-7592</f>
        <v>-7592</v>
      </c>
      <c r="R21" s="32">
        <v>-336</v>
      </c>
      <c r="S21" s="32">
        <v>-518</v>
      </c>
      <c r="T21" s="32">
        <v>-389</v>
      </c>
      <c r="U21" s="32">
        <v>-569</v>
      </c>
      <c r="V21" s="32">
        <v>-460</v>
      </c>
      <c r="W21" s="32">
        <v>-563</v>
      </c>
      <c r="X21" s="32">
        <v>-577</v>
      </c>
      <c r="Y21" s="32">
        <v>-897</v>
      </c>
      <c r="Z21" s="32">
        <v>-619</v>
      </c>
      <c r="AA21" s="32">
        <v>-792</v>
      </c>
      <c r="AB21" s="32">
        <v>-918</v>
      </c>
      <c r="AC21" s="32">
        <v>-1066</v>
      </c>
      <c r="AD21" s="32">
        <v>-1168</v>
      </c>
      <c r="AE21" s="32">
        <v>-1762</v>
      </c>
      <c r="AF21" s="32">
        <v>-1740</v>
      </c>
      <c r="AG21" s="32">
        <v>-1578</v>
      </c>
      <c r="AH21" s="32">
        <v>-2356</v>
      </c>
      <c r="AI21" s="32">
        <v>-2466</v>
      </c>
      <c r="AJ21" s="32">
        <v>-2038</v>
      </c>
      <c r="AK21" s="32">
        <v>-2522</v>
      </c>
      <c r="AL21" s="32">
        <v>-1964</v>
      </c>
      <c r="AM21" s="32">
        <v>-2675</v>
      </c>
      <c r="AN21" s="32">
        <v>-1980</v>
      </c>
      <c r="AO21" s="32">
        <v>-3021</v>
      </c>
      <c r="AP21" s="32">
        <v>-2364</v>
      </c>
      <c r="AQ21" s="32">
        <f t="shared" si="12"/>
        <v>-2794</v>
      </c>
      <c r="AR21" s="32">
        <f>-2965</f>
        <v>-2965</v>
      </c>
      <c r="AS21" s="32">
        <f t="shared" si="16"/>
        <v>-3223</v>
      </c>
      <c r="AT21" s="32">
        <f>-3784</f>
        <v>-3784</v>
      </c>
      <c r="AU21" s="32">
        <f t="shared" si="14"/>
        <v>-3808</v>
      </c>
    </row>
    <row r="22" spans="1:47" x14ac:dyDescent="0.2">
      <c r="A22" s="5" t="s">
        <v>301</v>
      </c>
      <c r="B22" s="32">
        <f t="shared" si="0"/>
        <v>0</v>
      </c>
      <c r="C22" s="32">
        <f t="shared" si="1"/>
        <v>0</v>
      </c>
      <c r="D22" s="32">
        <f t="shared" si="2"/>
        <v>0</v>
      </c>
      <c r="E22" s="32">
        <f t="shared" si="3"/>
        <v>0</v>
      </c>
      <c r="F22" s="32">
        <f t="shared" si="4"/>
        <v>0</v>
      </c>
      <c r="G22" s="32">
        <f t="shared" si="5"/>
        <v>0</v>
      </c>
      <c r="H22" s="32">
        <f t="shared" si="6"/>
        <v>-673</v>
      </c>
      <c r="I22" s="32">
        <f t="shared" si="7"/>
        <v>-800</v>
      </c>
      <c r="J22" s="32">
        <f t="shared" si="8"/>
        <v>-476</v>
      </c>
      <c r="K22" s="32">
        <f t="shared" si="9"/>
        <v>-329</v>
      </c>
      <c r="L22" s="32">
        <f t="shared" si="10"/>
        <v>-169</v>
      </c>
      <c r="M22" s="32">
        <f t="shared" si="11"/>
        <v>-912</v>
      </c>
      <c r="N22" s="32">
        <v>-829</v>
      </c>
      <c r="O22" s="32">
        <f>-547</f>
        <v>-547</v>
      </c>
      <c r="P22" s="32">
        <f>-254</f>
        <v>-254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-244</v>
      </c>
      <c r="AE22" s="32">
        <v>-429</v>
      </c>
      <c r="AF22" s="32">
        <v>-212</v>
      </c>
      <c r="AG22" s="32">
        <v>-588</v>
      </c>
      <c r="AH22" s="32">
        <v>-142</v>
      </c>
      <c r="AI22" s="32">
        <v>-334</v>
      </c>
      <c r="AJ22" s="32">
        <v>-80</v>
      </c>
      <c r="AK22" s="32">
        <v>-249</v>
      </c>
      <c r="AL22" s="32">
        <v>-167</v>
      </c>
      <c r="AM22" s="32">
        <v>-2</v>
      </c>
      <c r="AN22" s="32">
        <v>-132</v>
      </c>
      <c r="AO22" s="32">
        <v>-780</v>
      </c>
      <c r="AP22" s="32">
        <v>-633</v>
      </c>
      <c r="AQ22" s="32">
        <f t="shared" si="12"/>
        <v>-196</v>
      </c>
      <c r="AR22" s="32">
        <f>-244</f>
        <v>-244</v>
      </c>
      <c r="AS22" s="32">
        <f t="shared" si="16"/>
        <v>-303</v>
      </c>
      <c r="AT22" s="32">
        <f>-153</f>
        <v>-153</v>
      </c>
      <c r="AU22" s="32">
        <f t="shared" si="14"/>
        <v>-101</v>
      </c>
    </row>
    <row r="23" spans="1:47" x14ac:dyDescent="0.2">
      <c r="A23" s="5" t="s">
        <v>124</v>
      </c>
      <c r="B23" s="32">
        <f t="shared" si="0"/>
        <v>0</v>
      </c>
      <c r="C23" s="32">
        <f t="shared" si="1"/>
        <v>0</v>
      </c>
      <c r="D23" s="32">
        <f t="shared" si="2"/>
        <v>0</v>
      </c>
      <c r="E23" s="32">
        <f t="shared" si="3"/>
        <v>0</v>
      </c>
      <c r="F23" s="32">
        <f t="shared" si="4"/>
        <v>0</v>
      </c>
      <c r="G23" s="32">
        <f t="shared" si="5"/>
        <v>0</v>
      </c>
      <c r="H23" s="32">
        <f t="shared" si="6"/>
        <v>0</v>
      </c>
      <c r="I23" s="32">
        <f t="shared" si="7"/>
        <v>0</v>
      </c>
      <c r="J23" s="32">
        <f t="shared" si="8"/>
        <v>729</v>
      </c>
      <c r="K23" s="32">
        <f t="shared" si="9"/>
        <v>0</v>
      </c>
      <c r="L23" s="32">
        <f t="shared" si="10"/>
        <v>0</v>
      </c>
      <c r="M23" s="32">
        <f t="shared" si="11"/>
        <v>12038</v>
      </c>
      <c r="N23" s="32">
        <f t="shared" si="11"/>
        <v>0</v>
      </c>
      <c r="O23" s="32">
        <f>0</f>
        <v>0</v>
      </c>
      <c r="P23" s="32">
        <f>0</f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729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12038</v>
      </c>
      <c r="AO23" s="32">
        <v>0</v>
      </c>
      <c r="AP23" s="32">
        <v>0</v>
      </c>
      <c r="AQ23" s="32">
        <f t="shared" si="12"/>
        <v>0</v>
      </c>
      <c r="AR23" s="32">
        <f>0</f>
        <v>0</v>
      </c>
      <c r="AS23" s="32">
        <f t="shared" si="16"/>
        <v>0</v>
      </c>
      <c r="AT23" s="32">
        <f>0</f>
        <v>0</v>
      </c>
      <c r="AU23" s="32">
        <f t="shared" si="14"/>
        <v>0</v>
      </c>
    </row>
    <row r="24" spans="1:47" x14ac:dyDescent="0.2">
      <c r="A24" s="5" t="s">
        <v>302</v>
      </c>
      <c r="B24" s="32">
        <f t="shared" si="0"/>
        <v>-27</v>
      </c>
      <c r="C24" s="32">
        <f t="shared" si="1"/>
        <v>-209</v>
      </c>
      <c r="D24" s="32">
        <f t="shared" si="2"/>
        <v>-40</v>
      </c>
      <c r="E24" s="32">
        <f t="shared" si="3"/>
        <v>-913</v>
      </c>
      <c r="F24" s="32">
        <f t="shared" si="4"/>
        <v>-991</v>
      </c>
      <c r="G24" s="32">
        <f t="shared" si="5"/>
        <v>-753</v>
      </c>
      <c r="H24" s="32">
        <f t="shared" si="6"/>
        <v>366</v>
      </c>
      <c r="I24" s="32">
        <f t="shared" si="7"/>
        <v>-2811</v>
      </c>
      <c r="J24" s="32">
        <f t="shared" si="8"/>
        <v>-1724</v>
      </c>
      <c r="K24" s="32">
        <f t="shared" si="9"/>
        <v>-1573</v>
      </c>
      <c r="L24" s="32">
        <f t="shared" si="10"/>
        <v>-3944</v>
      </c>
      <c r="M24" s="32">
        <f t="shared" si="11"/>
        <v>-2014</v>
      </c>
      <c r="N24" s="32">
        <f>-5064+496</f>
        <v>-4568</v>
      </c>
      <c r="O24" s="32">
        <f>1510-3977</f>
        <v>-2467</v>
      </c>
      <c r="P24" s="32">
        <f>2790-4514</f>
        <v>-1724</v>
      </c>
      <c r="R24" s="32">
        <v>37</v>
      </c>
      <c r="S24" s="32">
        <v>-64</v>
      </c>
      <c r="T24" s="32">
        <v>-27</v>
      </c>
      <c r="U24" s="32">
        <v>-182</v>
      </c>
      <c r="V24" s="32">
        <v>-96</v>
      </c>
      <c r="W24" s="32">
        <v>56</v>
      </c>
      <c r="X24" s="32">
        <v>-166</v>
      </c>
      <c r="Y24" s="32">
        <v>-747</v>
      </c>
      <c r="Z24" s="32">
        <v>-341</v>
      </c>
      <c r="AA24" s="32">
        <v>-650</v>
      </c>
      <c r="AB24" s="32">
        <v>-495</v>
      </c>
      <c r="AC24" s="32">
        <v>-258</v>
      </c>
      <c r="AD24" s="32">
        <v>-176</v>
      </c>
      <c r="AE24" s="32">
        <v>542</v>
      </c>
      <c r="AF24" s="32">
        <v>-1427</v>
      </c>
      <c r="AG24" s="32">
        <v>-1384</v>
      </c>
      <c r="AH24" s="32">
        <v>-720</v>
      </c>
      <c r="AI24" s="32">
        <v>-1004</v>
      </c>
      <c r="AJ24" s="32">
        <v>-879</v>
      </c>
      <c r="AK24" s="32">
        <v>-694</v>
      </c>
      <c r="AL24" s="32">
        <v>-2753</v>
      </c>
      <c r="AM24" s="32">
        <v>-1191</v>
      </c>
      <c r="AN24" s="32">
        <v>268</v>
      </c>
      <c r="AO24" s="32">
        <v>-2282</v>
      </c>
      <c r="AP24" s="32">
        <f>281-1294</f>
        <v>-1013</v>
      </c>
      <c r="AQ24" s="32">
        <f t="shared" si="12"/>
        <v>-3555</v>
      </c>
      <c r="AR24" s="32">
        <f>260-2387</f>
        <v>-2127</v>
      </c>
      <c r="AS24" s="32">
        <f t="shared" si="16"/>
        <v>-340</v>
      </c>
      <c r="AT24" s="32">
        <f>3009-1244</f>
        <v>1765</v>
      </c>
      <c r="AU24" s="32">
        <f t="shared" si="14"/>
        <v>-3489</v>
      </c>
    </row>
    <row r="25" spans="1:47" x14ac:dyDescent="0.2">
      <c r="A25" s="35" t="s">
        <v>125</v>
      </c>
      <c r="B25" s="76">
        <f t="shared" si="0"/>
        <v>7644</v>
      </c>
      <c r="C25" s="76">
        <f t="shared" si="1"/>
        <v>5909</v>
      </c>
      <c r="D25" s="76">
        <f t="shared" si="2"/>
        <v>8148</v>
      </c>
      <c r="E25" s="76">
        <f t="shared" si="3"/>
        <v>9231</v>
      </c>
      <c r="F25" s="76">
        <f t="shared" si="4"/>
        <v>6249</v>
      </c>
      <c r="G25" s="76">
        <f t="shared" si="5"/>
        <v>5018</v>
      </c>
      <c r="H25" s="76">
        <f t="shared" si="6"/>
        <v>9712</v>
      </c>
      <c r="I25" s="76">
        <f t="shared" si="7"/>
        <v>3204</v>
      </c>
      <c r="J25" s="76">
        <f t="shared" si="8"/>
        <v>6484</v>
      </c>
      <c r="K25" s="76">
        <f t="shared" si="9"/>
        <v>10218</v>
      </c>
      <c r="L25" s="76">
        <f t="shared" si="10"/>
        <v>13246</v>
      </c>
      <c r="M25" s="76">
        <f t="shared" si="11"/>
        <v>25055</v>
      </c>
      <c r="N25" s="76">
        <f>SUM(N17:N24)</f>
        <v>11941</v>
      </c>
      <c r="O25" s="76">
        <f>23721</f>
        <v>23721</v>
      </c>
      <c r="P25" s="76">
        <f>25395</f>
        <v>25395</v>
      </c>
      <c r="Q25" s="30"/>
      <c r="R25" s="76">
        <v>3340</v>
      </c>
      <c r="S25" s="76">
        <v>4304</v>
      </c>
      <c r="T25" s="76">
        <v>2749</v>
      </c>
      <c r="U25" s="76">
        <v>3160</v>
      </c>
      <c r="V25" s="76">
        <v>3628</v>
      </c>
      <c r="W25" s="76">
        <v>4520</v>
      </c>
      <c r="X25" s="76">
        <v>1080</v>
      </c>
      <c r="Y25" s="76">
        <v>8151</v>
      </c>
      <c r="Z25" s="76">
        <v>2583</v>
      </c>
      <c r="AA25" s="76">
        <v>3666</v>
      </c>
      <c r="AB25" s="76">
        <v>686</v>
      </c>
      <c r="AC25" s="76">
        <v>4332</v>
      </c>
      <c r="AD25" s="76">
        <v>2530</v>
      </c>
      <c r="AE25" s="76">
        <v>7182</v>
      </c>
      <c r="AF25" s="76">
        <v>-1262</v>
      </c>
      <c r="AG25" s="76">
        <v>4466</v>
      </c>
      <c r="AH25" s="76">
        <v>3529</v>
      </c>
      <c r="AI25" s="76">
        <v>2955</v>
      </c>
      <c r="AJ25" s="76">
        <v>2202</v>
      </c>
      <c r="AK25" s="76">
        <v>8016</v>
      </c>
      <c r="AL25" s="77">
        <v>6461</v>
      </c>
      <c r="AM25" s="78">
        <v>6785</v>
      </c>
      <c r="AN25" s="78">
        <f>SUM(AN17:AN24)</f>
        <v>17394</v>
      </c>
      <c r="AO25" s="78">
        <v>7661</v>
      </c>
      <c r="AP25" s="78">
        <f>SUM(AP17:AP24)</f>
        <v>3993</v>
      </c>
      <c r="AQ25" s="78">
        <f t="shared" si="12"/>
        <v>7948</v>
      </c>
      <c r="AR25" s="78">
        <f>SUM(AR17:AR24)</f>
        <v>10530</v>
      </c>
      <c r="AS25" s="78">
        <f t="shared" si="16"/>
        <v>13191</v>
      </c>
      <c r="AT25" s="78">
        <f>SUM(AT17:AT24)</f>
        <v>15217</v>
      </c>
      <c r="AU25" s="78">
        <f t="shared" si="14"/>
        <v>10178</v>
      </c>
    </row>
    <row r="26" spans="1:47" x14ac:dyDescent="0.2">
      <c r="A26" s="5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M26" s="32"/>
      <c r="AN26" s="32"/>
      <c r="AO26" s="32"/>
      <c r="AP26" s="32"/>
      <c r="AQ26" s="32"/>
      <c r="AR26" s="32"/>
      <c r="AS26" s="32"/>
      <c r="AT26" s="32"/>
      <c r="AU26" s="32"/>
    </row>
    <row r="27" spans="1:47" x14ac:dyDescent="0.2">
      <c r="A27" s="5" t="s">
        <v>126</v>
      </c>
      <c r="B27" s="32">
        <f t="shared" si="0"/>
        <v>267</v>
      </c>
      <c r="C27" s="32">
        <f t="shared" si="1"/>
        <v>676</v>
      </c>
      <c r="D27" s="32">
        <f t="shared" si="2"/>
        <v>679</v>
      </c>
      <c r="E27" s="32">
        <f t="shared" si="3"/>
        <v>895</v>
      </c>
      <c r="F27" s="32">
        <f t="shared" si="4"/>
        <v>1667</v>
      </c>
      <c r="G27" s="32">
        <f t="shared" si="5"/>
        <v>1791</v>
      </c>
      <c r="H27" s="32">
        <f t="shared" si="6"/>
        <v>1696</v>
      </c>
      <c r="I27" s="32">
        <f t="shared" si="7"/>
        <v>2101</v>
      </c>
      <c r="J27" s="32">
        <f t="shared" si="8"/>
        <v>2872</v>
      </c>
      <c r="K27" s="32">
        <f t="shared" si="9"/>
        <v>1887</v>
      </c>
      <c r="L27" s="32">
        <f t="shared" si="10"/>
        <v>2392</v>
      </c>
      <c r="M27" s="32">
        <f t="shared" si="11"/>
        <v>3914</v>
      </c>
      <c r="N27" s="32">
        <v>2217</v>
      </c>
      <c r="O27" s="32">
        <f>1978</f>
        <v>1978</v>
      </c>
      <c r="P27" s="32">
        <f>3028</f>
        <v>3028</v>
      </c>
      <c r="R27" s="32">
        <v>111</v>
      </c>
      <c r="S27" s="32">
        <v>156</v>
      </c>
      <c r="T27" s="32">
        <v>334</v>
      </c>
      <c r="U27" s="32">
        <v>342</v>
      </c>
      <c r="V27" s="32">
        <v>386</v>
      </c>
      <c r="W27" s="32">
        <v>293</v>
      </c>
      <c r="X27" s="32">
        <v>389</v>
      </c>
      <c r="Y27" s="32">
        <v>506</v>
      </c>
      <c r="Z27" s="32">
        <v>992</v>
      </c>
      <c r="AA27" s="32">
        <v>675</v>
      </c>
      <c r="AB27" s="32">
        <v>849</v>
      </c>
      <c r="AC27" s="32">
        <v>942</v>
      </c>
      <c r="AD27" s="32">
        <v>767</v>
      </c>
      <c r="AE27" s="32">
        <v>929</v>
      </c>
      <c r="AF27" s="32">
        <v>895</v>
      </c>
      <c r="AG27" s="32">
        <v>1206</v>
      </c>
      <c r="AH27" s="32">
        <v>1517</v>
      </c>
      <c r="AI27" s="32">
        <v>1355</v>
      </c>
      <c r="AJ27" s="32">
        <v>1125</v>
      </c>
      <c r="AK27" s="32">
        <v>762</v>
      </c>
      <c r="AL27" s="32">
        <v>644</v>
      </c>
      <c r="AM27" s="32">
        <v>1748</v>
      </c>
      <c r="AN27" s="32">
        <v>2525</v>
      </c>
      <c r="AO27" s="32">
        <v>1389</v>
      </c>
      <c r="AP27" s="32">
        <v>975</v>
      </c>
      <c r="AQ27" s="32">
        <f t="shared" si="12"/>
        <v>1242</v>
      </c>
      <c r="AR27" s="32">
        <f>924</f>
        <v>924</v>
      </c>
      <c r="AS27" s="32">
        <f t="shared" si="16"/>
        <v>1054</v>
      </c>
      <c r="AT27" s="32">
        <f>1392</f>
        <v>1392</v>
      </c>
      <c r="AU27" s="32">
        <f t="shared" si="14"/>
        <v>1636</v>
      </c>
    </row>
    <row r="28" spans="1:47" x14ac:dyDescent="0.2">
      <c r="A28" s="5" t="s">
        <v>127</v>
      </c>
      <c r="B28" s="32">
        <f t="shared" si="0"/>
        <v>1174</v>
      </c>
      <c r="C28" s="32">
        <f t="shared" si="1"/>
        <v>73</v>
      </c>
      <c r="D28" s="32">
        <f t="shared" si="2"/>
        <v>12</v>
      </c>
      <c r="E28" s="32">
        <f t="shared" si="3"/>
        <v>822</v>
      </c>
      <c r="F28" s="32">
        <f t="shared" si="4"/>
        <v>19</v>
      </c>
      <c r="G28" s="32">
        <f t="shared" si="5"/>
        <v>66</v>
      </c>
      <c r="H28" s="32">
        <f t="shared" si="6"/>
        <v>16</v>
      </c>
      <c r="I28" s="32">
        <f t="shared" si="7"/>
        <v>183</v>
      </c>
      <c r="J28" s="32">
        <f t="shared" si="8"/>
        <v>119</v>
      </c>
      <c r="K28" s="32">
        <f t="shared" si="9"/>
        <v>129</v>
      </c>
      <c r="L28" s="32">
        <f t="shared" si="10"/>
        <v>136</v>
      </c>
      <c r="M28" s="32">
        <f t="shared" si="11"/>
        <v>75</v>
      </c>
      <c r="N28" s="32">
        <v>598</v>
      </c>
      <c r="O28" s="32">
        <f>5610</f>
        <v>5610</v>
      </c>
      <c r="P28" s="32">
        <f>0</f>
        <v>0</v>
      </c>
      <c r="R28" s="32">
        <v>124</v>
      </c>
      <c r="S28" s="32">
        <v>1050</v>
      </c>
      <c r="T28" s="32">
        <v>33</v>
      </c>
      <c r="U28" s="32">
        <v>40</v>
      </c>
      <c r="V28" s="32">
        <v>48</v>
      </c>
      <c r="W28" s="32">
        <v>-36</v>
      </c>
      <c r="X28" s="32">
        <v>2</v>
      </c>
      <c r="Y28" s="32">
        <v>820</v>
      </c>
      <c r="Z28" s="32">
        <v>6</v>
      </c>
      <c r="AA28" s="32">
        <v>13</v>
      </c>
      <c r="AB28" s="32">
        <v>42</v>
      </c>
      <c r="AC28" s="32">
        <v>24</v>
      </c>
      <c r="AD28" s="32">
        <v>2</v>
      </c>
      <c r="AE28" s="32">
        <v>14</v>
      </c>
      <c r="AF28" s="32">
        <v>209</v>
      </c>
      <c r="AG28" s="32">
        <v>-26</v>
      </c>
      <c r="AH28" s="32">
        <v>37</v>
      </c>
      <c r="AI28" s="32">
        <v>82</v>
      </c>
      <c r="AJ28" s="32">
        <v>150</v>
      </c>
      <c r="AK28" s="32">
        <v>-21</v>
      </c>
      <c r="AL28" s="32">
        <v>65</v>
      </c>
      <c r="AM28" s="32">
        <v>71</v>
      </c>
      <c r="AN28" s="32">
        <v>68</v>
      </c>
      <c r="AO28" s="32">
        <v>7</v>
      </c>
      <c r="AP28" s="32">
        <v>337</v>
      </c>
      <c r="AQ28" s="32">
        <f t="shared" si="12"/>
        <v>261</v>
      </c>
      <c r="AR28" s="32">
        <f>2122</f>
        <v>2122</v>
      </c>
      <c r="AS28" s="32">
        <f t="shared" si="16"/>
        <v>3488</v>
      </c>
      <c r="AT28" s="32">
        <f>0</f>
        <v>0</v>
      </c>
      <c r="AU28" s="32">
        <f t="shared" si="14"/>
        <v>0</v>
      </c>
    </row>
    <row r="29" spans="1:47" x14ac:dyDescent="0.2">
      <c r="A29" s="5" t="s">
        <v>128</v>
      </c>
      <c r="B29" s="32">
        <f t="shared" si="0"/>
        <v>-60</v>
      </c>
      <c r="C29" s="32">
        <f t="shared" si="1"/>
        <v>-132</v>
      </c>
      <c r="D29" s="32">
        <f t="shared" si="2"/>
        <v>-342</v>
      </c>
      <c r="E29" s="32">
        <f t="shared" si="3"/>
        <v>-553</v>
      </c>
      <c r="F29" s="32">
        <f t="shared" si="4"/>
        <v>-504</v>
      </c>
      <c r="G29" s="32">
        <f t="shared" si="5"/>
        <v>-319</v>
      </c>
      <c r="H29" s="32">
        <f t="shared" si="6"/>
        <v>-1007</v>
      </c>
      <c r="I29" s="32">
        <f t="shared" si="7"/>
        <v>-5065</v>
      </c>
      <c r="J29" s="32">
        <f t="shared" si="8"/>
        <v>-7704</v>
      </c>
      <c r="K29" s="32">
        <f t="shared" si="9"/>
        <v>-7512</v>
      </c>
      <c r="L29" s="32">
        <f t="shared" si="10"/>
        <v>-9909</v>
      </c>
      <c r="M29" s="32">
        <f t="shared" si="11"/>
        <v>-13120</v>
      </c>
      <c r="N29" s="32">
        <v>-15776</v>
      </c>
      <c r="O29" s="32">
        <f>-33411</f>
        <v>-33411</v>
      </c>
      <c r="P29" s="32">
        <f>-51430</f>
        <v>-51430</v>
      </c>
      <c r="R29" s="32">
        <v>-20</v>
      </c>
      <c r="S29" s="32">
        <v>-40</v>
      </c>
      <c r="T29" s="32">
        <v>-96</v>
      </c>
      <c r="U29" s="32">
        <v>-36</v>
      </c>
      <c r="V29" s="32">
        <v>-142</v>
      </c>
      <c r="W29" s="32">
        <v>-200</v>
      </c>
      <c r="X29" s="32">
        <v>-242</v>
      </c>
      <c r="Y29" s="32">
        <v>-311</v>
      </c>
      <c r="Z29" s="32">
        <v>-593</v>
      </c>
      <c r="AA29" s="32">
        <v>89</v>
      </c>
      <c r="AB29" s="32">
        <v>-152</v>
      </c>
      <c r="AC29" s="32">
        <v>-167</v>
      </c>
      <c r="AD29" s="32">
        <v>-423</v>
      </c>
      <c r="AE29" s="32">
        <v>-584</v>
      </c>
      <c r="AF29" s="32">
        <v>-2192</v>
      </c>
      <c r="AG29" s="32">
        <v>-2873</v>
      </c>
      <c r="AH29" s="32">
        <v>-3667</v>
      </c>
      <c r="AI29" s="32">
        <v>-4037</v>
      </c>
      <c r="AJ29" s="32">
        <v>-4166</v>
      </c>
      <c r="AK29" s="32">
        <v>-3346</v>
      </c>
      <c r="AL29" s="32">
        <v>-4414</v>
      </c>
      <c r="AM29" s="32">
        <v>-5495</v>
      </c>
      <c r="AN29" s="32">
        <v>-6863</v>
      </c>
      <c r="AO29" s="32">
        <v>-6257</v>
      </c>
      <c r="AP29" s="32">
        <v>-6939</v>
      </c>
      <c r="AQ29" s="32">
        <f t="shared" si="12"/>
        <v>-8837</v>
      </c>
      <c r="AR29" s="32">
        <f>-12792</f>
        <v>-12792</v>
      </c>
      <c r="AS29" s="32">
        <f t="shared" si="16"/>
        <v>-20619</v>
      </c>
      <c r="AT29" s="32">
        <f>-26479</f>
        <v>-26479</v>
      </c>
      <c r="AU29" s="32">
        <f t="shared" si="14"/>
        <v>-24951</v>
      </c>
    </row>
    <row r="30" spans="1:47" x14ac:dyDescent="0.2">
      <c r="A30" s="37" t="s">
        <v>129</v>
      </c>
      <c r="B30" s="75">
        <f t="shared" si="0"/>
        <v>1381</v>
      </c>
      <c r="C30" s="75">
        <f t="shared" si="1"/>
        <v>617</v>
      </c>
      <c r="D30" s="75">
        <f t="shared" si="2"/>
        <v>349</v>
      </c>
      <c r="E30" s="75">
        <f t="shared" si="3"/>
        <v>1164</v>
      </c>
      <c r="F30" s="75">
        <f t="shared" si="4"/>
        <v>1182</v>
      </c>
      <c r="G30" s="75">
        <f t="shared" si="5"/>
        <v>1538</v>
      </c>
      <c r="H30" s="75">
        <f t="shared" si="6"/>
        <v>705</v>
      </c>
      <c r="I30" s="75">
        <f t="shared" si="7"/>
        <v>-2781</v>
      </c>
      <c r="J30" s="75">
        <f t="shared" si="8"/>
        <v>-4713</v>
      </c>
      <c r="K30" s="75">
        <f t="shared" si="9"/>
        <v>-5496</v>
      </c>
      <c r="L30" s="32">
        <f t="shared" si="10"/>
        <v>-7381</v>
      </c>
      <c r="M30" s="32">
        <f t="shared" si="11"/>
        <v>-9131</v>
      </c>
      <c r="N30" s="32">
        <f>SUM(N27:N29)</f>
        <v>-12961</v>
      </c>
      <c r="O30" s="32">
        <f>SUM(O27:O29)</f>
        <v>-25823</v>
      </c>
      <c r="P30" s="32">
        <f>SUM(P27:P29)</f>
        <v>-48402</v>
      </c>
      <c r="Q30" s="37"/>
      <c r="R30" s="75">
        <v>215</v>
      </c>
      <c r="S30" s="75">
        <v>1166</v>
      </c>
      <c r="T30" s="75">
        <v>271</v>
      </c>
      <c r="U30" s="75">
        <v>346</v>
      </c>
      <c r="V30" s="75">
        <v>292</v>
      </c>
      <c r="W30" s="75">
        <v>57</v>
      </c>
      <c r="X30" s="75">
        <v>149</v>
      </c>
      <c r="Y30" s="75">
        <v>1015</v>
      </c>
      <c r="Z30" s="75">
        <v>405</v>
      </c>
      <c r="AA30" s="75">
        <v>777</v>
      </c>
      <c r="AB30" s="75">
        <v>739</v>
      </c>
      <c r="AC30" s="75">
        <v>799</v>
      </c>
      <c r="AD30" s="75">
        <v>346</v>
      </c>
      <c r="AE30" s="75">
        <v>359</v>
      </c>
      <c r="AF30" s="75">
        <v>-1088</v>
      </c>
      <c r="AG30" s="75">
        <v>-1693</v>
      </c>
      <c r="AH30" s="75">
        <v>-2113</v>
      </c>
      <c r="AI30" s="75">
        <v>-2600</v>
      </c>
      <c r="AJ30" s="75">
        <v>-2891</v>
      </c>
      <c r="AK30" s="75">
        <v>-2605</v>
      </c>
      <c r="AL30" s="75">
        <v>-3705</v>
      </c>
      <c r="AM30" s="75">
        <v>-3676</v>
      </c>
      <c r="AN30" s="75">
        <f>SUM(AN27:AN29)</f>
        <v>-4270</v>
      </c>
      <c r="AO30" s="32">
        <v>-4861</v>
      </c>
      <c r="AP30" s="75">
        <f>SUM(AP27:AP29)</f>
        <v>-5627</v>
      </c>
      <c r="AQ30" s="75">
        <f t="shared" si="12"/>
        <v>-7334</v>
      </c>
      <c r="AR30" s="75">
        <f>SUM(AR27:AR29)</f>
        <v>-9746</v>
      </c>
      <c r="AS30" s="75">
        <f t="shared" si="16"/>
        <v>-16077</v>
      </c>
      <c r="AT30" s="75">
        <f>SUM(AT27:AT29)</f>
        <v>-25087</v>
      </c>
      <c r="AU30" s="75">
        <f t="shared" si="14"/>
        <v>-23315</v>
      </c>
    </row>
    <row r="31" spans="1:47" x14ac:dyDescent="0.2">
      <c r="A31" s="5" t="s">
        <v>130</v>
      </c>
      <c r="B31" s="32">
        <f t="shared" si="0"/>
        <v>0</v>
      </c>
      <c r="C31" s="32">
        <f t="shared" si="1"/>
        <v>0</v>
      </c>
      <c r="D31" s="32">
        <f t="shared" si="2"/>
        <v>0</v>
      </c>
      <c r="E31" s="32">
        <f t="shared" si="3"/>
        <v>0</v>
      </c>
      <c r="F31" s="32">
        <f t="shared" si="4"/>
        <v>0</v>
      </c>
      <c r="G31" s="32">
        <f t="shared" si="5"/>
        <v>0</v>
      </c>
      <c r="H31" s="32">
        <f t="shared" si="6"/>
        <v>0</v>
      </c>
      <c r="I31" s="32">
        <f t="shared" si="7"/>
        <v>0</v>
      </c>
      <c r="J31" s="32">
        <f t="shared" si="8"/>
        <v>0</v>
      </c>
      <c r="K31" s="32">
        <f t="shared" si="9"/>
        <v>0</v>
      </c>
      <c r="L31" s="32">
        <f t="shared" si="10"/>
        <v>-16</v>
      </c>
      <c r="M31" s="32">
        <f t="shared" si="11"/>
        <v>-37</v>
      </c>
      <c r="N31" s="32">
        <v>66</v>
      </c>
      <c r="O31" s="32">
        <f>-4991</f>
        <v>-4991</v>
      </c>
      <c r="P31" s="32">
        <f>-1963</f>
        <v>-1963</v>
      </c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M31" s="32">
        <v>-16</v>
      </c>
      <c r="AN31" s="32">
        <v>-38</v>
      </c>
      <c r="AO31" s="32">
        <v>1</v>
      </c>
      <c r="AP31" s="32">
        <v>17</v>
      </c>
      <c r="AQ31" s="32">
        <f t="shared" si="12"/>
        <v>49</v>
      </c>
      <c r="AR31" s="32">
        <f>-1470</f>
        <v>-1470</v>
      </c>
      <c r="AS31" s="32">
        <f t="shared" si="16"/>
        <v>-3521</v>
      </c>
      <c r="AT31" s="32">
        <f>-504</f>
        <v>-504</v>
      </c>
      <c r="AU31" s="32">
        <f t="shared" si="14"/>
        <v>-1459</v>
      </c>
    </row>
    <row r="32" spans="1:47" x14ac:dyDescent="0.2">
      <c r="A32" s="37" t="s">
        <v>131</v>
      </c>
      <c r="B32" s="75">
        <f t="shared" si="0"/>
        <v>9025</v>
      </c>
      <c r="C32" s="75">
        <f t="shared" si="1"/>
        <v>6526</v>
      </c>
      <c r="D32" s="75">
        <f t="shared" si="2"/>
        <v>8497</v>
      </c>
      <c r="E32" s="75">
        <f t="shared" si="3"/>
        <v>10395</v>
      </c>
      <c r="F32" s="75">
        <f t="shared" si="4"/>
        <v>7431</v>
      </c>
      <c r="G32" s="75">
        <f t="shared" si="5"/>
        <v>6556</v>
      </c>
      <c r="H32" s="75">
        <f t="shared" si="6"/>
        <v>10417</v>
      </c>
      <c r="I32" s="75">
        <f t="shared" si="7"/>
        <v>423</v>
      </c>
      <c r="J32" s="75">
        <f t="shared" si="8"/>
        <v>1771</v>
      </c>
      <c r="K32" s="75">
        <f t="shared" si="9"/>
        <v>4722</v>
      </c>
      <c r="L32" s="32">
        <f t="shared" si="10"/>
        <v>5849</v>
      </c>
      <c r="M32" s="32">
        <f t="shared" si="11"/>
        <v>15887</v>
      </c>
      <c r="N32" s="32">
        <v>-954</v>
      </c>
      <c r="O32" s="32">
        <f>-7093</f>
        <v>-7093</v>
      </c>
      <c r="P32" s="32">
        <v>-24969</v>
      </c>
      <c r="Q32" s="37"/>
      <c r="R32" s="75">
        <v>3555</v>
      </c>
      <c r="S32" s="75">
        <v>5470</v>
      </c>
      <c r="T32" s="75">
        <v>3020</v>
      </c>
      <c r="U32" s="75">
        <v>3506</v>
      </c>
      <c r="V32" s="75">
        <v>3920</v>
      </c>
      <c r="W32" s="75">
        <v>4577</v>
      </c>
      <c r="X32" s="75">
        <v>1229</v>
      </c>
      <c r="Y32" s="75">
        <v>9166</v>
      </c>
      <c r="Z32" s="75">
        <v>2988</v>
      </c>
      <c r="AA32" s="75">
        <v>4443</v>
      </c>
      <c r="AB32" s="75">
        <v>1425</v>
      </c>
      <c r="AC32" s="75">
        <v>5131</v>
      </c>
      <c r="AD32" s="75">
        <v>2876</v>
      </c>
      <c r="AE32" s="75">
        <v>7541</v>
      </c>
      <c r="AF32" s="75">
        <v>-2350</v>
      </c>
      <c r="AG32" s="75">
        <v>2773</v>
      </c>
      <c r="AH32" s="75">
        <v>1416</v>
      </c>
      <c r="AI32" s="75">
        <v>355</v>
      </c>
      <c r="AJ32" s="75">
        <v>-689</v>
      </c>
      <c r="AK32" s="75">
        <v>5411</v>
      </c>
      <c r="AL32" s="75">
        <v>2756</v>
      </c>
      <c r="AM32" s="75">
        <v>3093</v>
      </c>
      <c r="AN32" s="75">
        <v>13086</v>
      </c>
      <c r="AO32" s="75">
        <v>2801</v>
      </c>
      <c r="AP32" s="75">
        <f>AP30+AP25+AP31</f>
        <v>-1617</v>
      </c>
      <c r="AQ32" s="75">
        <f t="shared" si="12"/>
        <v>663</v>
      </c>
      <c r="AR32" s="75">
        <f>AR30+AR25+AR31</f>
        <v>-686</v>
      </c>
      <c r="AS32" s="75">
        <f t="shared" si="16"/>
        <v>-6407</v>
      </c>
      <c r="AT32" s="75">
        <f>AT30+AT25+AT31</f>
        <v>-10374</v>
      </c>
      <c r="AU32" s="75">
        <f t="shared" si="14"/>
        <v>-14595</v>
      </c>
    </row>
    <row r="33" spans="1:47" x14ac:dyDescent="0.2">
      <c r="A33" s="5" t="s">
        <v>303</v>
      </c>
      <c r="B33" s="32">
        <f t="shared" si="0"/>
        <v>-1585</v>
      </c>
      <c r="C33" s="32">
        <f t="shared" si="1"/>
        <v>-1526</v>
      </c>
      <c r="D33" s="32">
        <f t="shared" si="2"/>
        <v>-1833</v>
      </c>
      <c r="E33" s="32">
        <f t="shared" si="3"/>
        <v>-2026</v>
      </c>
      <c r="F33" s="32">
        <f t="shared" si="4"/>
        <v>-2002</v>
      </c>
      <c r="G33" s="32">
        <f t="shared" si="5"/>
        <v>-1654</v>
      </c>
      <c r="H33" s="32">
        <f t="shared" si="6"/>
        <v>-2524</v>
      </c>
      <c r="I33" s="32">
        <f t="shared" si="7"/>
        <v>-1123</v>
      </c>
      <c r="J33" s="32">
        <f t="shared" si="8"/>
        <v>-1585</v>
      </c>
      <c r="K33" s="32">
        <f t="shared" si="9"/>
        <v>-2686</v>
      </c>
      <c r="L33" s="32">
        <f t="shared" si="10"/>
        <v>-2842</v>
      </c>
      <c r="M33" s="32">
        <f t="shared" si="11"/>
        <v>-2886</v>
      </c>
      <c r="N33" s="32">
        <v>-2416</v>
      </c>
      <c r="O33" s="32">
        <f>179</f>
        <v>179</v>
      </c>
      <c r="P33" s="32">
        <v>2633</v>
      </c>
      <c r="R33" s="32">
        <v>-804</v>
      </c>
      <c r="S33" s="32">
        <v>-781</v>
      </c>
      <c r="T33" s="32">
        <v>-651</v>
      </c>
      <c r="U33" s="32">
        <v>-875</v>
      </c>
      <c r="V33" s="32">
        <v>-822</v>
      </c>
      <c r="W33" s="32">
        <v>-1011</v>
      </c>
      <c r="X33" s="32">
        <v>-302</v>
      </c>
      <c r="Y33" s="32">
        <v>-1724</v>
      </c>
      <c r="Z33" s="32">
        <v>-795</v>
      </c>
      <c r="AA33" s="32">
        <v>-1207</v>
      </c>
      <c r="AB33" s="32">
        <v>-117</v>
      </c>
      <c r="AC33" s="32">
        <v>-1537</v>
      </c>
      <c r="AD33" s="32">
        <v>-754</v>
      </c>
      <c r="AE33" s="32">
        <v>-1770</v>
      </c>
      <c r="AF33" s="32">
        <v>369</v>
      </c>
      <c r="AG33" s="32">
        <v>-1492</v>
      </c>
      <c r="AH33" s="32">
        <v>-857</v>
      </c>
      <c r="AI33" s="32">
        <v>-728</v>
      </c>
      <c r="AJ33" s="32">
        <v>-1082</v>
      </c>
      <c r="AK33" s="32">
        <v>-1604</v>
      </c>
      <c r="AL33" s="32">
        <v>-1461</v>
      </c>
      <c r="AM33" s="32">
        <v>-1381</v>
      </c>
      <c r="AN33" s="32">
        <v>-1414</v>
      </c>
      <c r="AO33" s="32">
        <v>-1472</v>
      </c>
      <c r="AP33" s="32">
        <v>-502</v>
      </c>
      <c r="AQ33" s="32">
        <f t="shared" si="12"/>
        <v>-1914</v>
      </c>
      <c r="AR33" s="32">
        <f>-811</f>
        <v>-811</v>
      </c>
      <c r="AS33" s="32">
        <f t="shared" si="16"/>
        <v>990</v>
      </c>
      <c r="AT33" s="32">
        <f>1434</f>
        <v>1434</v>
      </c>
      <c r="AU33" s="32">
        <f t="shared" si="14"/>
        <v>1199</v>
      </c>
    </row>
    <row r="34" spans="1:47" x14ac:dyDescent="0.2">
      <c r="A34" s="37" t="s">
        <v>132</v>
      </c>
      <c r="B34" s="75">
        <f t="shared" si="0"/>
        <v>7440</v>
      </c>
      <c r="C34" s="75">
        <f t="shared" si="1"/>
        <v>5000</v>
      </c>
      <c r="D34" s="75">
        <f t="shared" si="2"/>
        <v>6664</v>
      </c>
      <c r="E34" s="75">
        <f t="shared" si="3"/>
        <v>8369</v>
      </c>
      <c r="F34" s="75">
        <f t="shared" si="4"/>
        <v>5429</v>
      </c>
      <c r="G34" s="75">
        <f t="shared" si="5"/>
        <v>4902</v>
      </c>
      <c r="H34" s="75">
        <f t="shared" si="6"/>
        <v>7893</v>
      </c>
      <c r="I34" s="75">
        <f t="shared" si="7"/>
        <v>-700</v>
      </c>
      <c r="J34" s="75">
        <f t="shared" si="8"/>
        <v>186</v>
      </c>
      <c r="K34" s="75">
        <f t="shared" si="9"/>
        <v>2036</v>
      </c>
      <c r="L34" s="32">
        <f t="shared" si="10"/>
        <v>3007</v>
      </c>
      <c r="M34" s="32">
        <f t="shared" si="11"/>
        <v>13001</v>
      </c>
      <c r="N34" s="32">
        <v>-3370</v>
      </c>
      <c r="O34" s="32">
        <f>-6914</f>
        <v>-6914</v>
      </c>
      <c r="P34" s="32">
        <f>-22336</f>
        <v>-22336</v>
      </c>
      <c r="Q34" s="37"/>
      <c r="R34" s="75">
        <v>2751</v>
      </c>
      <c r="S34" s="75">
        <v>4689</v>
      </c>
      <c r="T34" s="75">
        <v>2369</v>
      </c>
      <c r="U34" s="75">
        <v>2631</v>
      </c>
      <c r="V34" s="75">
        <v>3098</v>
      </c>
      <c r="W34" s="75">
        <v>3566</v>
      </c>
      <c r="X34" s="75">
        <v>927</v>
      </c>
      <c r="Y34" s="75">
        <v>7442</v>
      </c>
      <c r="Z34" s="75">
        <v>2193</v>
      </c>
      <c r="AA34" s="75">
        <v>3236</v>
      </c>
      <c r="AB34" s="75">
        <v>1308</v>
      </c>
      <c r="AC34" s="75">
        <v>3594</v>
      </c>
      <c r="AD34" s="75">
        <v>2122</v>
      </c>
      <c r="AE34" s="75">
        <v>5771</v>
      </c>
      <c r="AF34" s="75">
        <v>-1981</v>
      </c>
      <c r="AG34" s="75">
        <v>1281</v>
      </c>
      <c r="AH34" s="75">
        <v>559</v>
      </c>
      <c r="AI34" s="75">
        <v>-373</v>
      </c>
      <c r="AJ34" s="75">
        <v>-1771</v>
      </c>
      <c r="AK34" s="75">
        <v>3807</v>
      </c>
      <c r="AL34" s="32">
        <v>1295</v>
      </c>
      <c r="AM34" s="32">
        <v>1712</v>
      </c>
      <c r="AN34" s="32">
        <f>AN32+AN33</f>
        <v>11672</v>
      </c>
      <c r="AO34" s="32">
        <v>1329</v>
      </c>
      <c r="AP34" s="32">
        <f>AP32+AP33</f>
        <v>-2119</v>
      </c>
      <c r="AQ34" s="32">
        <f t="shared" si="12"/>
        <v>-1251</v>
      </c>
      <c r="AR34" s="32">
        <f>AR32+AR33</f>
        <v>-1497</v>
      </c>
      <c r="AS34" s="32">
        <f t="shared" si="16"/>
        <v>-5417</v>
      </c>
      <c r="AT34" s="32">
        <f>AT32+AT33</f>
        <v>-8940</v>
      </c>
      <c r="AU34" s="32">
        <f t="shared" si="14"/>
        <v>-13396</v>
      </c>
    </row>
    <row r="35" spans="1:47" x14ac:dyDescent="0.2">
      <c r="A35" s="35" t="s">
        <v>133</v>
      </c>
      <c r="B35" s="76">
        <f t="shared" si="0"/>
        <v>7440</v>
      </c>
      <c r="C35" s="76">
        <f t="shared" si="1"/>
        <v>5000</v>
      </c>
      <c r="D35" s="76">
        <f t="shared" si="2"/>
        <v>6664</v>
      </c>
      <c r="E35" s="76">
        <f t="shared" si="3"/>
        <v>8369</v>
      </c>
      <c r="F35" s="76">
        <f t="shared" si="4"/>
        <v>5429</v>
      </c>
      <c r="G35" s="76">
        <f t="shared" si="5"/>
        <v>4902</v>
      </c>
      <c r="H35" s="76">
        <f t="shared" si="6"/>
        <v>7893</v>
      </c>
      <c r="I35" s="76">
        <f t="shared" si="7"/>
        <v>-700</v>
      </c>
      <c r="J35" s="76">
        <f t="shared" si="8"/>
        <v>186</v>
      </c>
      <c r="K35" s="76">
        <f t="shared" si="9"/>
        <v>2036</v>
      </c>
      <c r="L35" s="76">
        <f t="shared" si="10"/>
        <v>3007</v>
      </c>
      <c r="M35" s="76">
        <f t="shared" si="11"/>
        <v>13001</v>
      </c>
      <c r="N35" s="76">
        <v>-3370</v>
      </c>
      <c r="O35" s="76">
        <f>-6914</f>
        <v>-6914</v>
      </c>
      <c r="P35" s="76">
        <f>-22336</f>
        <v>-22336</v>
      </c>
      <c r="Q35" s="30"/>
      <c r="R35" s="76">
        <v>2751</v>
      </c>
      <c r="S35" s="76">
        <v>4689</v>
      </c>
      <c r="T35" s="76">
        <v>2369</v>
      </c>
      <c r="U35" s="76">
        <v>2631</v>
      </c>
      <c r="V35" s="76">
        <v>3098</v>
      </c>
      <c r="W35" s="76">
        <v>3566</v>
      </c>
      <c r="X35" s="76">
        <v>927</v>
      </c>
      <c r="Y35" s="76">
        <v>7442</v>
      </c>
      <c r="Z35" s="76">
        <v>2193</v>
      </c>
      <c r="AA35" s="76">
        <v>3236</v>
      </c>
      <c r="AB35" s="76">
        <v>1308</v>
      </c>
      <c r="AC35" s="76">
        <v>3594</v>
      </c>
      <c r="AD35" s="76">
        <v>2122</v>
      </c>
      <c r="AE35" s="76">
        <v>5771</v>
      </c>
      <c r="AF35" s="76">
        <v>-1981</v>
      </c>
      <c r="AG35" s="76">
        <v>1281</v>
      </c>
      <c r="AH35" s="76">
        <v>559</v>
      </c>
      <c r="AI35" s="76">
        <v>-373</v>
      </c>
      <c r="AJ35" s="76">
        <v>-1771</v>
      </c>
      <c r="AK35" s="76">
        <v>3807</v>
      </c>
      <c r="AL35" s="77">
        <v>1295</v>
      </c>
      <c r="AM35" s="59">
        <v>1712</v>
      </c>
      <c r="AN35" s="59">
        <f>AN34</f>
        <v>11672</v>
      </c>
      <c r="AO35" s="59">
        <v>1329</v>
      </c>
      <c r="AP35" s="59">
        <f>AP34</f>
        <v>-2119</v>
      </c>
      <c r="AQ35" s="59">
        <f t="shared" si="12"/>
        <v>-1251</v>
      </c>
      <c r="AR35" s="59">
        <f>AR34</f>
        <v>-1497</v>
      </c>
      <c r="AS35" s="59">
        <f t="shared" si="16"/>
        <v>-5417</v>
      </c>
      <c r="AT35" s="59">
        <f>AT34</f>
        <v>-8940</v>
      </c>
      <c r="AU35" s="59">
        <f t="shared" si="14"/>
        <v>-13396</v>
      </c>
    </row>
    <row r="36" spans="1:47" x14ac:dyDescent="0.2">
      <c r="B36" s="32">
        <f t="shared" si="0"/>
        <v>0</v>
      </c>
      <c r="C36" s="32">
        <f t="shared" si="1"/>
        <v>0</v>
      </c>
      <c r="D36" s="32">
        <f t="shared" si="2"/>
        <v>0</v>
      </c>
      <c r="E36" s="32">
        <f t="shared" si="3"/>
        <v>0</v>
      </c>
      <c r="F36" s="32">
        <f t="shared" si="4"/>
        <v>0</v>
      </c>
      <c r="G36" s="32">
        <f t="shared" si="5"/>
        <v>0</v>
      </c>
      <c r="H36" s="32">
        <f t="shared" si="6"/>
        <v>0</v>
      </c>
      <c r="I36" s="32">
        <f t="shared" si="7"/>
        <v>0</v>
      </c>
      <c r="J36" s="32">
        <f t="shared" si="8"/>
        <v>0</v>
      </c>
      <c r="K36" s="32">
        <f t="shared" si="9"/>
        <v>0</v>
      </c>
      <c r="L36" s="32">
        <f t="shared" si="10"/>
        <v>0</v>
      </c>
      <c r="M36" s="32">
        <f>SUM(AN36:AO36)</f>
        <v>0</v>
      </c>
      <c r="N36" s="32">
        <f>SUM(AP36:AQ36)</f>
        <v>0</v>
      </c>
      <c r="O36" s="32">
        <f>SUM(AR36:AS36)</f>
        <v>0</v>
      </c>
      <c r="P36" s="32">
        <f>SUM(AS36:AT36)</f>
        <v>0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M36" s="32"/>
      <c r="AN36" s="32"/>
      <c r="AO36" s="32"/>
      <c r="AP36" s="32"/>
      <c r="AQ36" s="32"/>
      <c r="AR36" s="32"/>
      <c r="AS36" s="32"/>
      <c r="AT36" s="32"/>
      <c r="AU36" s="32"/>
    </row>
    <row r="37" spans="1:47" x14ac:dyDescent="0.2">
      <c r="A37" s="39" t="s">
        <v>134</v>
      </c>
      <c r="B37" s="79">
        <f t="shared" si="0"/>
        <v>0</v>
      </c>
      <c r="C37" s="79">
        <f t="shared" si="1"/>
        <v>0</v>
      </c>
      <c r="D37" s="79">
        <f t="shared" si="2"/>
        <v>0</v>
      </c>
      <c r="E37" s="79">
        <f t="shared" si="3"/>
        <v>0</v>
      </c>
      <c r="F37" s="79">
        <f t="shared" si="4"/>
        <v>0</v>
      </c>
      <c r="G37" s="79">
        <f t="shared" si="5"/>
        <v>0</v>
      </c>
      <c r="H37" s="79">
        <f t="shared" si="6"/>
        <v>0</v>
      </c>
      <c r="I37" s="79">
        <f t="shared" si="7"/>
        <v>0</v>
      </c>
      <c r="J37" s="79">
        <f t="shared" si="8"/>
        <v>0</v>
      </c>
      <c r="K37" s="79">
        <f t="shared" si="9"/>
        <v>0</v>
      </c>
      <c r="L37" s="32">
        <f t="shared" si="10"/>
        <v>0</v>
      </c>
      <c r="M37" s="32">
        <f t="shared" si="11"/>
        <v>0</v>
      </c>
      <c r="N37" s="32">
        <f>SUM(AP37:AQ37)</f>
        <v>0</v>
      </c>
      <c r="O37" s="32">
        <f>SUM(AR37:AS37)</f>
        <v>0</v>
      </c>
      <c r="P37" s="32">
        <f>SUM(AS37:AT37)</f>
        <v>0</v>
      </c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M37" s="32"/>
      <c r="AN37" s="32"/>
      <c r="AO37" s="32"/>
      <c r="AP37" s="32"/>
      <c r="AQ37" s="32"/>
      <c r="AR37" s="32"/>
      <c r="AS37" s="32"/>
      <c r="AT37" s="32"/>
      <c r="AU37" s="32"/>
    </row>
    <row r="38" spans="1:47" x14ac:dyDescent="0.2">
      <c r="A38" s="5" t="s">
        <v>135</v>
      </c>
      <c r="B38" s="32">
        <f t="shared" si="0"/>
        <v>7332</v>
      </c>
      <c r="C38" s="32">
        <f t="shared" si="1"/>
        <v>4979</v>
      </c>
      <c r="D38" s="32">
        <f t="shared" si="2"/>
        <v>6629</v>
      </c>
      <c r="E38" s="32">
        <f t="shared" si="3"/>
        <v>8345</v>
      </c>
      <c r="F38" s="32">
        <f t="shared" si="4"/>
        <v>5399</v>
      </c>
      <c r="G38" s="32">
        <f t="shared" si="5"/>
        <v>4902</v>
      </c>
      <c r="H38" s="32">
        <f t="shared" si="6"/>
        <v>7890</v>
      </c>
      <c r="I38" s="32">
        <f t="shared" si="7"/>
        <v>-702</v>
      </c>
      <c r="J38" s="32">
        <f t="shared" si="8"/>
        <v>795</v>
      </c>
      <c r="K38" s="32">
        <f t="shared" si="9"/>
        <v>2036</v>
      </c>
      <c r="L38" s="80">
        <f t="shared" si="10"/>
        <v>3007</v>
      </c>
      <c r="M38" s="80">
        <f t="shared" si="11"/>
        <v>12948</v>
      </c>
      <c r="N38" s="80">
        <v>-3370</v>
      </c>
      <c r="O38" s="80">
        <f>-6914</f>
        <v>-6914</v>
      </c>
      <c r="P38" s="80">
        <f>-21526</f>
        <v>-21526</v>
      </c>
      <c r="R38" s="32">
        <v>2723</v>
      </c>
      <c r="S38" s="32">
        <v>4609</v>
      </c>
      <c r="T38" s="32">
        <v>2342</v>
      </c>
      <c r="U38" s="32">
        <v>2637</v>
      </c>
      <c r="V38" s="32">
        <v>3083</v>
      </c>
      <c r="W38" s="32">
        <v>3546</v>
      </c>
      <c r="X38" s="32">
        <v>927</v>
      </c>
      <c r="Y38" s="32">
        <v>7418</v>
      </c>
      <c r="Z38" s="32">
        <v>2188</v>
      </c>
      <c r="AA38" s="32">
        <v>3211</v>
      </c>
      <c r="AB38" s="32">
        <v>1307</v>
      </c>
      <c r="AC38" s="32">
        <v>3595</v>
      </c>
      <c r="AD38" s="32">
        <v>2118</v>
      </c>
      <c r="AE38" s="32">
        <v>5772</v>
      </c>
      <c r="AF38" s="32">
        <v>-1982</v>
      </c>
      <c r="AG38" s="32">
        <v>1280</v>
      </c>
      <c r="AH38" s="32">
        <v>1142</v>
      </c>
      <c r="AI38" s="32">
        <v>-347</v>
      </c>
      <c r="AJ38" s="32">
        <v>-1772</v>
      </c>
      <c r="AK38" s="32">
        <v>3808</v>
      </c>
      <c r="AL38" s="80">
        <v>1295</v>
      </c>
      <c r="AM38" s="80">
        <v>1712</v>
      </c>
      <c r="AN38" s="80">
        <v>11663</v>
      </c>
      <c r="AO38" s="80">
        <v>1285</v>
      </c>
      <c r="AP38" s="80">
        <f>AP35-AP39</f>
        <v>-2119</v>
      </c>
      <c r="AQ38" s="80">
        <f t="shared" si="12"/>
        <v>-1251</v>
      </c>
      <c r="AR38" s="80">
        <f>AR35-AR39</f>
        <v>-1497</v>
      </c>
      <c r="AS38" s="80">
        <f>O38-AR38</f>
        <v>-5417</v>
      </c>
      <c r="AT38" s="80">
        <f>AT35-AT39</f>
        <v>-8940</v>
      </c>
      <c r="AU38" s="80">
        <f t="shared" si="14"/>
        <v>-12586</v>
      </c>
    </row>
    <row r="39" spans="1:47" x14ac:dyDescent="0.2">
      <c r="A39" s="5" t="s">
        <v>136</v>
      </c>
      <c r="B39" s="32">
        <f t="shared" si="0"/>
        <v>108</v>
      </c>
      <c r="C39" s="32">
        <f t="shared" si="1"/>
        <v>21</v>
      </c>
      <c r="D39" s="32">
        <f t="shared" si="2"/>
        <v>35</v>
      </c>
      <c r="E39" s="32">
        <f t="shared" si="3"/>
        <v>24</v>
      </c>
      <c r="F39" s="32">
        <f t="shared" si="4"/>
        <v>30</v>
      </c>
      <c r="G39" s="32">
        <f t="shared" si="5"/>
        <v>0</v>
      </c>
      <c r="H39" s="32">
        <f t="shared" si="6"/>
        <v>3</v>
      </c>
      <c r="I39" s="32">
        <f t="shared" si="7"/>
        <v>2</v>
      </c>
      <c r="J39" s="32">
        <f t="shared" si="8"/>
        <v>-609</v>
      </c>
      <c r="K39" s="32">
        <f t="shared" si="9"/>
        <v>0</v>
      </c>
      <c r="L39" s="32">
        <f t="shared" si="10"/>
        <v>0</v>
      </c>
      <c r="M39" s="32">
        <f t="shared" si="11"/>
        <v>53</v>
      </c>
      <c r="N39" s="32">
        <v>0</v>
      </c>
      <c r="O39" s="32">
        <f>0</f>
        <v>0</v>
      </c>
      <c r="P39" s="32">
        <f>-810</f>
        <v>-810</v>
      </c>
      <c r="R39" s="32">
        <v>28</v>
      </c>
      <c r="S39" s="32">
        <v>80</v>
      </c>
      <c r="T39" s="32">
        <v>27</v>
      </c>
      <c r="U39" s="32">
        <v>-6</v>
      </c>
      <c r="V39" s="32">
        <v>15</v>
      </c>
      <c r="W39" s="32">
        <v>20</v>
      </c>
      <c r="X39" s="32">
        <v>0</v>
      </c>
      <c r="Y39" s="32">
        <v>24</v>
      </c>
      <c r="Z39" s="32">
        <v>5</v>
      </c>
      <c r="AA39" s="32">
        <v>25</v>
      </c>
      <c r="AB39" s="32">
        <v>1</v>
      </c>
      <c r="AC39" s="32">
        <v>-1</v>
      </c>
      <c r="AD39" s="32">
        <v>4</v>
      </c>
      <c r="AE39" s="32">
        <v>-1</v>
      </c>
      <c r="AF39" s="32">
        <v>1</v>
      </c>
      <c r="AG39" s="32">
        <v>1</v>
      </c>
      <c r="AH39" s="32">
        <v>-583</v>
      </c>
      <c r="AI39" s="32">
        <v>-26</v>
      </c>
      <c r="AJ39" s="32">
        <v>1</v>
      </c>
      <c r="AK39" s="32">
        <v>-1</v>
      </c>
      <c r="AL39" s="32">
        <v>0</v>
      </c>
      <c r="AM39" s="32">
        <v>0</v>
      </c>
      <c r="AN39" s="32">
        <v>9</v>
      </c>
      <c r="AO39" s="32">
        <v>44</v>
      </c>
      <c r="AP39" s="32">
        <v>0</v>
      </c>
      <c r="AQ39" s="32">
        <f t="shared" si="12"/>
        <v>0</v>
      </c>
      <c r="AR39" s="32">
        <f>0</f>
        <v>0</v>
      </c>
      <c r="AS39" s="32">
        <f t="shared" ref="AS39" si="17">O39-AR39</f>
        <v>0</v>
      </c>
      <c r="AT39" s="32">
        <f>0</f>
        <v>0</v>
      </c>
      <c r="AU39" s="32">
        <f t="shared" si="14"/>
        <v>-810</v>
      </c>
    </row>
    <row r="40" spans="1:47" x14ac:dyDescent="0.2">
      <c r="A40" s="35" t="s">
        <v>132</v>
      </c>
      <c r="B40" s="76">
        <f t="shared" si="0"/>
        <v>7440</v>
      </c>
      <c r="C40" s="76">
        <f t="shared" si="1"/>
        <v>5000</v>
      </c>
      <c r="D40" s="76">
        <f t="shared" si="2"/>
        <v>6664</v>
      </c>
      <c r="E40" s="76">
        <f t="shared" si="3"/>
        <v>8369</v>
      </c>
      <c r="F40" s="76">
        <f t="shared" si="4"/>
        <v>5429</v>
      </c>
      <c r="G40" s="76">
        <f t="shared" si="5"/>
        <v>4902</v>
      </c>
      <c r="H40" s="76">
        <f t="shared" si="6"/>
        <v>7893</v>
      </c>
      <c r="I40" s="76">
        <f t="shared" si="7"/>
        <v>-700</v>
      </c>
      <c r="J40" s="76">
        <f t="shared" si="8"/>
        <v>186</v>
      </c>
      <c r="K40" s="76">
        <f t="shared" si="9"/>
        <v>2036</v>
      </c>
      <c r="L40" s="76">
        <f t="shared" si="10"/>
        <v>3007</v>
      </c>
      <c r="M40" s="76">
        <f t="shared" si="11"/>
        <v>13001</v>
      </c>
      <c r="N40" s="76">
        <v>-3370</v>
      </c>
      <c r="O40" s="76">
        <f>-6914</f>
        <v>-6914</v>
      </c>
      <c r="P40" s="76">
        <f>-22336</f>
        <v>-22336</v>
      </c>
      <c r="Q40" s="30"/>
      <c r="R40" s="76">
        <v>2751</v>
      </c>
      <c r="S40" s="76">
        <v>4689</v>
      </c>
      <c r="T40" s="76">
        <v>2369</v>
      </c>
      <c r="U40" s="76">
        <v>2631</v>
      </c>
      <c r="V40" s="76">
        <v>3098</v>
      </c>
      <c r="W40" s="76">
        <v>3566</v>
      </c>
      <c r="X40" s="76">
        <v>927</v>
      </c>
      <c r="Y40" s="76">
        <v>7442</v>
      </c>
      <c r="Z40" s="76">
        <v>2193</v>
      </c>
      <c r="AA40" s="76">
        <v>3236</v>
      </c>
      <c r="AB40" s="76">
        <v>1308</v>
      </c>
      <c r="AC40" s="76">
        <v>3594</v>
      </c>
      <c r="AD40" s="76">
        <v>2122</v>
      </c>
      <c r="AE40" s="76">
        <v>5771</v>
      </c>
      <c r="AF40" s="76">
        <v>-1981</v>
      </c>
      <c r="AG40" s="76">
        <v>1281</v>
      </c>
      <c r="AH40" s="76">
        <v>559</v>
      </c>
      <c r="AI40" s="76">
        <v>-373</v>
      </c>
      <c r="AJ40" s="76">
        <v>-1771</v>
      </c>
      <c r="AK40" s="76">
        <v>3807</v>
      </c>
      <c r="AL40" s="59">
        <v>1295</v>
      </c>
      <c r="AM40" s="59">
        <v>1712</v>
      </c>
      <c r="AN40" s="59">
        <f>SUM(AN38:AN39)</f>
        <v>11672</v>
      </c>
      <c r="AO40" s="59">
        <v>1329</v>
      </c>
      <c r="AP40" s="59">
        <f>SUM(AP38:AP39)</f>
        <v>-2119</v>
      </c>
      <c r="AQ40" s="59">
        <f t="shared" si="12"/>
        <v>-1251</v>
      </c>
      <c r="AR40" s="59">
        <f>SUM(AR38:AR39)</f>
        <v>-1497</v>
      </c>
      <c r="AS40" s="59">
        <f>O40-AR40</f>
        <v>-5417</v>
      </c>
      <c r="AT40" s="59">
        <f>SUM(AT38:AT39)</f>
        <v>-8940</v>
      </c>
      <c r="AU40" s="59">
        <f t="shared" si="14"/>
        <v>-13396</v>
      </c>
    </row>
    <row r="41" spans="1:47" x14ac:dyDescent="0.2">
      <c r="B41" s="32">
        <f t="shared" si="0"/>
        <v>0</v>
      </c>
      <c r="C41" s="32">
        <f t="shared" si="1"/>
        <v>0</v>
      </c>
      <c r="D41" s="32">
        <f t="shared" si="2"/>
        <v>0</v>
      </c>
      <c r="E41" s="32">
        <f t="shared" si="3"/>
        <v>0</v>
      </c>
      <c r="F41" s="32">
        <f t="shared" si="4"/>
        <v>0</v>
      </c>
      <c r="G41" s="32">
        <f t="shared" si="5"/>
        <v>0</v>
      </c>
      <c r="H41" s="32">
        <f t="shared" si="6"/>
        <v>0</v>
      </c>
      <c r="I41" s="32">
        <f t="shared" si="7"/>
        <v>0</v>
      </c>
      <c r="J41" s="32">
        <f t="shared" si="8"/>
        <v>0</v>
      </c>
      <c r="K41" s="32">
        <f t="shared" si="9"/>
        <v>0</v>
      </c>
      <c r="L41" s="32">
        <f t="shared" si="10"/>
        <v>0</v>
      </c>
      <c r="M41" s="32">
        <f t="shared" si="11"/>
        <v>0</v>
      </c>
      <c r="N41" s="32">
        <f>SUM(AP41:AQ41)</f>
        <v>0</v>
      </c>
      <c r="O41" s="32">
        <f t="shared" ref="O41" si="18">SUM(AR41:AS41)</f>
        <v>0</v>
      </c>
      <c r="P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M41" s="32"/>
      <c r="AN41" s="32"/>
      <c r="AO41" s="32"/>
      <c r="AP41" s="32"/>
      <c r="AQ41" s="32"/>
      <c r="AR41" s="32"/>
      <c r="AS41" s="32"/>
      <c r="AT41" s="32"/>
      <c r="AU41" s="32"/>
    </row>
    <row r="42" spans="1:47" x14ac:dyDescent="0.2">
      <c r="A42" s="39" t="s">
        <v>137</v>
      </c>
      <c r="B42" s="79">
        <f t="shared" si="0"/>
        <v>0</v>
      </c>
      <c r="C42" s="79">
        <f t="shared" si="1"/>
        <v>0</v>
      </c>
      <c r="D42" s="79">
        <f t="shared" si="2"/>
        <v>0</v>
      </c>
      <c r="E42" s="79">
        <f t="shared" si="3"/>
        <v>0</v>
      </c>
      <c r="F42" s="79">
        <f t="shared" si="4"/>
        <v>0</v>
      </c>
      <c r="G42" s="79">
        <f t="shared" si="5"/>
        <v>0</v>
      </c>
      <c r="H42" s="79">
        <f t="shared" si="6"/>
        <v>0</v>
      </c>
      <c r="I42" s="79">
        <f t="shared" si="7"/>
        <v>0</v>
      </c>
      <c r="J42" s="79">
        <f t="shared" si="8"/>
        <v>0</v>
      </c>
      <c r="K42" s="79">
        <f t="shared" si="9"/>
        <v>0</v>
      </c>
      <c r="L42" s="32">
        <f t="shared" si="10"/>
        <v>0</v>
      </c>
      <c r="M42" s="32">
        <f t="shared" si="11"/>
        <v>0</v>
      </c>
      <c r="N42" s="32">
        <f>SUM(AP42:AQ42)</f>
        <v>0</v>
      </c>
      <c r="O42" s="32">
        <f>SUM(AR42:AS42)</f>
        <v>0</v>
      </c>
      <c r="P42" s="32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M42" s="32"/>
      <c r="AN42" s="32"/>
      <c r="AO42" s="32"/>
      <c r="AP42" s="32"/>
      <c r="AQ42" s="32"/>
      <c r="AR42" s="32"/>
      <c r="AS42" s="32"/>
      <c r="AT42" s="32"/>
      <c r="AU42" s="32"/>
    </row>
    <row r="43" spans="1:47" x14ac:dyDescent="0.2">
      <c r="A43" s="5" t="s">
        <v>135</v>
      </c>
      <c r="B43" s="32">
        <f t="shared" si="0"/>
        <v>7332</v>
      </c>
      <c r="C43" s="32">
        <f t="shared" si="1"/>
        <v>4979</v>
      </c>
      <c r="D43" s="32">
        <f t="shared" si="2"/>
        <v>6629</v>
      </c>
      <c r="E43" s="32">
        <f t="shared" si="3"/>
        <v>8345</v>
      </c>
      <c r="F43" s="32">
        <f t="shared" si="4"/>
        <v>5399</v>
      </c>
      <c r="G43" s="32">
        <f t="shared" si="5"/>
        <v>4902</v>
      </c>
      <c r="H43" s="32">
        <f t="shared" si="6"/>
        <v>7890</v>
      </c>
      <c r="I43" s="32">
        <f t="shared" si="7"/>
        <v>-702</v>
      </c>
      <c r="J43" s="32">
        <f t="shared" si="8"/>
        <v>795</v>
      </c>
      <c r="K43" s="32">
        <f t="shared" si="9"/>
        <v>2036</v>
      </c>
      <c r="L43" s="80">
        <f t="shared" si="10"/>
        <v>3007</v>
      </c>
      <c r="M43" s="80">
        <f t="shared" si="11"/>
        <v>12948</v>
      </c>
      <c r="N43" s="80">
        <v>-3370</v>
      </c>
      <c r="O43" s="80">
        <f>-6914</f>
        <v>-6914</v>
      </c>
      <c r="P43" s="80">
        <f>-21526</f>
        <v>-21526</v>
      </c>
      <c r="R43" s="32">
        <v>2723</v>
      </c>
      <c r="S43" s="32">
        <v>4609</v>
      </c>
      <c r="T43" s="32">
        <v>2342</v>
      </c>
      <c r="U43" s="32">
        <v>2637</v>
      </c>
      <c r="V43" s="32">
        <v>3083</v>
      </c>
      <c r="W43" s="32">
        <v>3546</v>
      </c>
      <c r="X43" s="32">
        <v>927</v>
      </c>
      <c r="Y43" s="32">
        <v>7418</v>
      </c>
      <c r="Z43" s="32">
        <v>2188</v>
      </c>
      <c r="AA43" s="32">
        <v>3211</v>
      </c>
      <c r="AB43" s="32">
        <v>1307</v>
      </c>
      <c r="AC43" s="32">
        <v>3595</v>
      </c>
      <c r="AD43" s="32">
        <v>2118</v>
      </c>
      <c r="AE43" s="32">
        <v>5772</v>
      </c>
      <c r="AF43" s="32">
        <v>-1982</v>
      </c>
      <c r="AG43" s="32">
        <v>1280</v>
      </c>
      <c r="AH43" s="32">
        <v>1142</v>
      </c>
      <c r="AI43" s="32">
        <v>-347</v>
      </c>
      <c r="AJ43" s="32">
        <v>-1772</v>
      </c>
      <c r="AK43" s="32">
        <v>3808</v>
      </c>
      <c r="AL43" s="80">
        <v>1295</v>
      </c>
      <c r="AM43" s="80">
        <v>1712</v>
      </c>
      <c r="AN43" s="80">
        <v>11663</v>
      </c>
      <c r="AO43" s="80">
        <v>1285</v>
      </c>
      <c r="AP43" s="80">
        <f>AP38</f>
        <v>-2119</v>
      </c>
      <c r="AQ43" s="80">
        <f t="shared" si="12"/>
        <v>-1251</v>
      </c>
      <c r="AR43" s="80">
        <f>AR38</f>
        <v>-1497</v>
      </c>
      <c r="AS43" s="80">
        <f>O43-AR43</f>
        <v>-5417</v>
      </c>
      <c r="AT43" s="80">
        <f>AT38</f>
        <v>-8940</v>
      </c>
      <c r="AU43" s="80">
        <f t="shared" si="14"/>
        <v>-12586</v>
      </c>
    </row>
    <row r="44" spans="1:47" x14ac:dyDescent="0.2">
      <c r="A44" s="5" t="s">
        <v>136</v>
      </c>
      <c r="B44" s="32">
        <f t="shared" si="0"/>
        <v>108</v>
      </c>
      <c r="C44" s="32">
        <f t="shared" si="1"/>
        <v>21</v>
      </c>
      <c r="D44" s="32">
        <f t="shared" si="2"/>
        <v>35</v>
      </c>
      <c r="E44" s="32">
        <f t="shared" si="3"/>
        <v>24</v>
      </c>
      <c r="F44" s="32">
        <f t="shared" si="4"/>
        <v>30</v>
      </c>
      <c r="G44" s="32">
        <f t="shared" si="5"/>
        <v>0</v>
      </c>
      <c r="H44" s="32">
        <f t="shared" si="6"/>
        <v>3</v>
      </c>
      <c r="I44" s="32">
        <f t="shared" si="7"/>
        <v>2</v>
      </c>
      <c r="J44" s="32">
        <f t="shared" si="8"/>
        <v>-609</v>
      </c>
      <c r="K44" s="32">
        <f t="shared" si="9"/>
        <v>0</v>
      </c>
      <c r="L44" s="32">
        <f t="shared" si="10"/>
        <v>0</v>
      </c>
      <c r="M44" s="32">
        <f t="shared" si="11"/>
        <v>53</v>
      </c>
      <c r="N44" s="32">
        <v>0</v>
      </c>
      <c r="O44" s="32">
        <f>0</f>
        <v>0</v>
      </c>
      <c r="P44" s="32">
        <f>-810</f>
        <v>-810</v>
      </c>
      <c r="R44" s="32">
        <v>28</v>
      </c>
      <c r="S44" s="32">
        <v>80</v>
      </c>
      <c r="T44" s="32">
        <v>27</v>
      </c>
      <c r="U44" s="32">
        <v>-6</v>
      </c>
      <c r="V44" s="32">
        <v>15</v>
      </c>
      <c r="W44" s="32">
        <v>20</v>
      </c>
      <c r="X44" s="32">
        <v>0</v>
      </c>
      <c r="Y44" s="32">
        <v>24</v>
      </c>
      <c r="Z44" s="32">
        <v>5</v>
      </c>
      <c r="AA44" s="32">
        <v>25</v>
      </c>
      <c r="AB44" s="32">
        <v>1</v>
      </c>
      <c r="AC44" s="32">
        <v>-1</v>
      </c>
      <c r="AD44" s="32">
        <v>4</v>
      </c>
      <c r="AE44" s="32">
        <v>-1</v>
      </c>
      <c r="AF44" s="32">
        <v>1</v>
      </c>
      <c r="AG44" s="32">
        <v>1</v>
      </c>
      <c r="AH44" s="32">
        <v>-583</v>
      </c>
      <c r="AI44" s="32">
        <v>-26</v>
      </c>
      <c r="AJ44" s="32">
        <v>1</v>
      </c>
      <c r="AK44" s="32">
        <v>-1</v>
      </c>
      <c r="AL44" s="32">
        <v>0</v>
      </c>
      <c r="AM44" s="32">
        <v>0</v>
      </c>
      <c r="AN44" s="32">
        <v>9</v>
      </c>
      <c r="AO44" s="32">
        <v>44</v>
      </c>
      <c r="AP44" s="32">
        <v>0</v>
      </c>
      <c r="AQ44" s="32">
        <f t="shared" si="12"/>
        <v>0</v>
      </c>
      <c r="AR44" s="32">
        <v>0</v>
      </c>
      <c r="AS44" s="32">
        <f t="shared" ref="AS44" si="19">O44-AR44</f>
        <v>0</v>
      </c>
      <c r="AT44" s="32">
        <v>0</v>
      </c>
      <c r="AU44" s="32">
        <f t="shared" si="14"/>
        <v>-810</v>
      </c>
    </row>
    <row r="45" spans="1:47" x14ac:dyDescent="0.2">
      <c r="A45" s="35" t="s">
        <v>133</v>
      </c>
      <c r="B45" s="76">
        <f t="shared" si="0"/>
        <v>7440</v>
      </c>
      <c r="C45" s="76">
        <f t="shared" si="1"/>
        <v>5000</v>
      </c>
      <c r="D45" s="76">
        <f t="shared" si="2"/>
        <v>6664</v>
      </c>
      <c r="E45" s="76">
        <f t="shared" si="3"/>
        <v>8369</v>
      </c>
      <c r="F45" s="76">
        <f t="shared" si="4"/>
        <v>5429</v>
      </c>
      <c r="G45" s="76">
        <f t="shared" si="5"/>
        <v>4902</v>
      </c>
      <c r="H45" s="76">
        <f t="shared" si="6"/>
        <v>7893</v>
      </c>
      <c r="I45" s="76">
        <f t="shared" si="7"/>
        <v>-700</v>
      </c>
      <c r="J45" s="76">
        <f t="shared" si="8"/>
        <v>186</v>
      </c>
      <c r="K45" s="76">
        <f t="shared" si="9"/>
        <v>2036</v>
      </c>
      <c r="L45" s="76">
        <f t="shared" si="10"/>
        <v>3007</v>
      </c>
      <c r="M45" s="76">
        <f t="shared" si="11"/>
        <v>13001</v>
      </c>
      <c r="N45" s="76">
        <v>-3370</v>
      </c>
      <c r="O45" s="76">
        <f>-6914</f>
        <v>-6914</v>
      </c>
      <c r="P45" s="76">
        <f>-22336</f>
        <v>-22336</v>
      </c>
      <c r="Q45" s="30"/>
      <c r="R45" s="76">
        <v>2751</v>
      </c>
      <c r="S45" s="76">
        <v>4689</v>
      </c>
      <c r="T45" s="76">
        <v>2369</v>
      </c>
      <c r="U45" s="76">
        <v>2631</v>
      </c>
      <c r="V45" s="76">
        <v>3098</v>
      </c>
      <c r="W45" s="76">
        <v>3566</v>
      </c>
      <c r="X45" s="76">
        <v>927</v>
      </c>
      <c r="Y45" s="76">
        <v>7442</v>
      </c>
      <c r="Z45" s="76">
        <v>2193</v>
      </c>
      <c r="AA45" s="76">
        <v>3236</v>
      </c>
      <c r="AB45" s="76">
        <v>1308</v>
      </c>
      <c r="AC45" s="76">
        <v>3594</v>
      </c>
      <c r="AD45" s="76">
        <v>2122</v>
      </c>
      <c r="AE45" s="76">
        <v>5771</v>
      </c>
      <c r="AF45" s="76">
        <v>-1981</v>
      </c>
      <c r="AG45" s="76">
        <v>1281</v>
      </c>
      <c r="AH45" s="76">
        <v>559</v>
      </c>
      <c r="AI45" s="76">
        <v>-373</v>
      </c>
      <c r="AJ45" s="76">
        <v>-1771</v>
      </c>
      <c r="AK45" s="76">
        <v>3807</v>
      </c>
      <c r="AL45" s="59">
        <v>1295</v>
      </c>
      <c r="AM45" s="59">
        <v>1712</v>
      </c>
      <c r="AN45" s="59">
        <f>SUM(AN43:AN44)</f>
        <v>11672</v>
      </c>
      <c r="AO45" s="59">
        <v>1329</v>
      </c>
      <c r="AP45" s="59">
        <f>SUM(AP43:AP44)</f>
        <v>-2119</v>
      </c>
      <c r="AQ45" s="59">
        <f t="shared" si="12"/>
        <v>-1251</v>
      </c>
      <c r="AR45" s="59">
        <f>SUM(AR43:AR44)</f>
        <v>-1497</v>
      </c>
      <c r="AS45" s="59">
        <f>O45-AR45</f>
        <v>-5417</v>
      </c>
      <c r="AT45" s="59">
        <f>SUM(AT43:AT44)</f>
        <v>-8940</v>
      </c>
      <c r="AU45" s="59">
        <f t="shared" si="14"/>
        <v>-13396</v>
      </c>
    </row>
    <row r="46" spans="1:47" x14ac:dyDescent="0.2">
      <c r="A46" s="5"/>
      <c r="AC46" s="81"/>
      <c r="AR46" s="5"/>
      <c r="AS46" s="5"/>
      <c r="AT46" s="5"/>
      <c r="AU46" s="5"/>
    </row>
    <row r="47" spans="1:47" x14ac:dyDescent="0.2">
      <c r="A47" s="5"/>
      <c r="AC47" s="81"/>
      <c r="AR47" s="5"/>
      <c r="AS47" s="5"/>
      <c r="AT47" s="5"/>
      <c r="AU47" s="5"/>
    </row>
    <row r="48" spans="1:47" ht="18" x14ac:dyDescent="0.25">
      <c r="A48" s="51" t="s">
        <v>0</v>
      </c>
      <c r="AR48" s="5"/>
      <c r="AS48" s="5"/>
      <c r="AT48" s="5"/>
      <c r="AU48" s="5"/>
    </row>
    <row r="49" spans="1:47" ht="15" x14ac:dyDescent="0.25">
      <c r="A49" s="113" t="s">
        <v>23</v>
      </c>
      <c r="AR49" s="5"/>
      <c r="AS49" s="5"/>
      <c r="AT49" s="5"/>
      <c r="AU49" s="5"/>
    </row>
    <row r="50" spans="1:47" x14ac:dyDescent="0.2">
      <c r="AR50" s="5"/>
      <c r="AS50" s="5"/>
      <c r="AT50" s="5"/>
      <c r="AU50" s="5"/>
    </row>
    <row r="51" spans="1:47" x14ac:dyDescent="0.2">
      <c r="A51" s="40" t="s">
        <v>34</v>
      </c>
      <c r="B51" s="71">
        <v>2011</v>
      </c>
      <c r="C51" s="71">
        <v>2012</v>
      </c>
      <c r="D51" s="71">
        <v>2013</v>
      </c>
      <c r="E51" s="71">
        <v>2014</v>
      </c>
      <c r="F51" s="71">
        <v>2015</v>
      </c>
      <c r="G51" s="71">
        <v>2016</v>
      </c>
      <c r="H51" s="71">
        <v>2017</v>
      </c>
      <c r="I51" s="71">
        <v>2018</v>
      </c>
      <c r="J51" s="71">
        <v>2019</v>
      </c>
      <c r="K51" s="71">
        <v>2020</v>
      </c>
      <c r="L51" s="71">
        <v>2021</v>
      </c>
      <c r="M51" s="71">
        <v>2022</v>
      </c>
      <c r="N51" s="71">
        <v>2023</v>
      </c>
      <c r="O51" s="71">
        <v>2024</v>
      </c>
      <c r="P51" s="71">
        <v>2025</v>
      </c>
      <c r="R51" s="88" t="s">
        <v>213</v>
      </c>
      <c r="S51" s="88" t="s">
        <v>214</v>
      </c>
      <c r="T51" s="88" t="s">
        <v>215</v>
      </c>
      <c r="U51" s="88" t="s">
        <v>216</v>
      </c>
      <c r="V51" s="88" t="s">
        <v>217</v>
      </c>
      <c r="W51" s="88" t="s">
        <v>218</v>
      </c>
      <c r="X51" s="88" t="s">
        <v>219</v>
      </c>
      <c r="Y51" s="88" t="s">
        <v>220</v>
      </c>
      <c r="Z51" s="88" t="s">
        <v>221</v>
      </c>
      <c r="AA51" s="88" t="s">
        <v>222</v>
      </c>
      <c r="AB51" s="88" t="s">
        <v>223</v>
      </c>
      <c r="AC51" s="89" t="s">
        <v>224</v>
      </c>
      <c r="AD51" s="88" t="s">
        <v>225</v>
      </c>
      <c r="AE51" s="88" t="s">
        <v>226</v>
      </c>
      <c r="AF51" s="88" t="s">
        <v>227</v>
      </c>
      <c r="AG51" s="88" t="s">
        <v>228</v>
      </c>
      <c r="AH51" s="88" t="s">
        <v>229</v>
      </c>
      <c r="AI51" s="88" t="s">
        <v>230</v>
      </c>
      <c r="AJ51" s="88" t="s">
        <v>231</v>
      </c>
      <c r="AK51" s="88" t="s">
        <v>232</v>
      </c>
      <c r="AL51" s="88" t="s">
        <v>233</v>
      </c>
      <c r="AM51" s="88" t="s">
        <v>234</v>
      </c>
      <c r="AN51" s="88" t="s">
        <v>235</v>
      </c>
      <c r="AO51" s="88" t="s">
        <v>236</v>
      </c>
      <c r="AP51" s="88" t="str">
        <f>AP5</f>
        <v>1П 2023</v>
      </c>
      <c r="AQ51" s="88" t="str">
        <f>AQ5</f>
        <v>2П 2023</v>
      </c>
      <c r="AR51" s="88" t="str">
        <f>AR5</f>
        <v>1П 2024</v>
      </c>
      <c r="AS51" s="88" t="s">
        <v>288</v>
      </c>
      <c r="AT51" s="88" t="s">
        <v>300</v>
      </c>
      <c r="AU51" s="88" t="s">
        <v>312</v>
      </c>
    </row>
    <row r="52" spans="1:47" x14ac:dyDescent="0.2">
      <c r="A52" s="37" t="s">
        <v>25</v>
      </c>
      <c r="B52" s="75">
        <f>SUM(ОФР!R52:S52)</f>
        <v>10853</v>
      </c>
      <c r="C52" s="75">
        <f>SUM(ОФР!T52:U52)</f>
        <v>9400</v>
      </c>
      <c r="D52" s="75">
        <f>SUM(ОФР!V52:W52)</f>
        <v>12368</v>
      </c>
      <c r="E52" s="75">
        <f>SUM(ОФР!X52:Y52)</f>
        <v>15796</v>
      </c>
      <c r="F52" s="75">
        <f>SUM(ОФР!Z52:AA52)</f>
        <v>12999</v>
      </c>
      <c r="G52" s="75">
        <f>SUM(ОФР!AB52:AC52)</f>
        <v>12209</v>
      </c>
      <c r="H52" s="75">
        <f>SUM(ОФР!AD52:AE52)</f>
        <v>18001</v>
      </c>
      <c r="I52" s="75">
        <f>SUM(ОФР!AF52:AG52)</f>
        <v>17055</v>
      </c>
      <c r="J52" s="75">
        <f>SUM(ОФР!AH52:AI52)</f>
        <v>20057</v>
      </c>
      <c r="K52" s="75">
        <f>SUM(ОФР!AJ52:AK52)</f>
        <v>21915</v>
      </c>
      <c r="L52" s="75">
        <f>SUM(AL52:AM52)</f>
        <v>27782</v>
      </c>
      <c r="M52" s="75">
        <f>SUM(AN52:AO52)</f>
        <v>28203</v>
      </c>
      <c r="N52" s="75">
        <f>N17</f>
        <v>29971</v>
      </c>
      <c r="O52" s="75">
        <f>O17</f>
        <v>41378</v>
      </c>
      <c r="P52" s="75">
        <f>P17</f>
        <v>41399</v>
      </c>
      <c r="Q52" s="37"/>
      <c r="R52" s="75">
        <v>4659</v>
      </c>
      <c r="S52" s="75">
        <v>6194</v>
      </c>
      <c r="T52" s="75">
        <v>6194</v>
      </c>
      <c r="U52" s="75">
        <v>3206</v>
      </c>
      <c r="V52" s="75">
        <v>4360</v>
      </c>
      <c r="W52" s="75">
        <v>8008</v>
      </c>
      <c r="X52" s="75">
        <v>5040</v>
      </c>
      <c r="Y52" s="75">
        <v>10756</v>
      </c>
      <c r="Z52" s="75">
        <v>5571</v>
      </c>
      <c r="AA52" s="75">
        <v>7428</v>
      </c>
      <c r="AB52" s="75">
        <v>6797</v>
      </c>
      <c r="AC52" s="83">
        <v>5412</v>
      </c>
      <c r="AD52" s="75">
        <v>3780</v>
      </c>
      <c r="AE52" s="75">
        <v>14221</v>
      </c>
      <c r="AF52" s="75">
        <v>12016</v>
      </c>
      <c r="AG52" s="75">
        <v>5039</v>
      </c>
      <c r="AH52" s="75">
        <v>7435</v>
      </c>
      <c r="AI52" s="75">
        <v>12622</v>
      </c>
      <c r="AJ52" s="75">
        <v>4057</v>
      </c>
      <c r="AK52" s="75">
        <v>17858</v>
      </c>
      <c r="AL52" s="75">
        <f>AL17</f>
        <v>13798</v>
      </c>
      <c r="AM52" s="75">
        <f>AM17</f>
        <v>13984</v>
      </c>
      <c r="AN52" s="75">
        <f>AN17</f>
        <v>9758</v>
      </c>
      <c r="AO52" s="75">
        <v>18445</v>
      </c>
      <c r="AP52" s="75">
        <f>AP17</f>
        <v>11246</v>
      </c>
      <c r="AQ52" s="75">
        <f t="shared" ref="AQ52:AQ60" si="20">N52-AP52</f>
        <v>18725</v>
      </c>
      <c r="AR52" s="75">
        <f>AR17</f>
        <v>19568</v>
      </c>
      <c r="AS52" s="75">
        <f>O52-AR52</f>
        <v>21810</v>
      </c>
      <c r="AT52" s="75">
        <f>20887</f>
        <v>20887</v>
      </c>
      <c r="AU52" s="75">
        <f t="shared" ref="AU52:AU60" si="21">P52-AT52</f>
        <v>20512</v>
      </c>
    </row>
    <row r="53" spans="1:47" x14ac:dyDescent="0.2">
      <c r="A53" s="5" t="s">
        <v>311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32">
        <f>P19</f>
        <v>1449</v>
      </c>
      <c r="Q53" s="37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83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32">
        <f t="shared" si="21"/>
        <v>1449</v>
      </c>
    </row>
    <row r="54" spans="1:47" x14ac:dyDescent="0.2">
      <c r="A54" s="5" t="s">
        <v>192</v>
      </c>
      <c r="B54" s="32">
        <f>SUM(ОФР!R54:S54)</f>
        <v>-2328</v>
      </c>
      <c r="C54" s="32">
        <f>SUM(ОФР!T54:U54)</f>
        <v>-2324</v>
      </c>
      <c r="D54" s="32">
        <f>SUM(ОФР!V54:W54)</f>
        <v>-3157</v>
      </c>
      <c r="E54" s="32">
        <f>SUM(ОФР!X54:Y54)</f>
        <v>-4178</v>
      </c>
      <c r="F54" s="32">
        <f>SUM(ОФР!Z54:AA54)</f>
        <v>-4348</v>
      </c>
      <c r="G54" s="32">
        <f>SUM(ОФР!AB54:AC54)</f>
        <v>-4454</v>
      </c>
      <c r="H54" s="32">
        <f>SUM(ОФР!AD54:AE54)</f>
        <v>-5052</v>
      </c>
      <c r="I54" s="32">
        <f>SUM(ОФР!AF54:AG54)</f>
        <v>-6922</v>
      </c>
      <c r="J54" s="32">
        <f>SUM(ОФР!AH54:AI54)</f>
        <v>-7280</v>
      </c>
      <c r="K54" s="32">
        <f>SUM(ОФР!AJ54:AK54)</f>
        <v>-5235</v>
      </c>
      <c r="L54" s="32">
        <f t="shared" ref="L54:L60" si="22">SUM(AL54:AM54)</f>
        <v>-5784</v>
      </c>
      <c r="M54" s="32">
        <f t="shared" ref="M54:M60" si="23">SUM(AN54:AO54)</f>
        <v>-7259</v>
      </c>
      <c r="N54" s="32">
        <f>N20</f>
        <v>-7475</v>
      </c>
      <c r="O54" s="32">
        <f>O20</f>
        <v>-8455</v>
      </c>
      <c r="P54" s="32">
        <f>P20</f>
        <v>-7883</v>
      </c>
      <c r="R54" s="32">
        <v>-1020</v>
      </c>
      <c r="S54" s="32">
        <v>-1308</v>
      </c>
      <c r="T54" s="32">
        <v>-1308</v>
      </c>
      <c r="U54" s="32">
        <v>-1016</v>
      </c>
      <c r="V54" s="32">
        <v>-1195</v>
      </c>
      <c r="W54" s="32">
        <v>-1962</v>
      </c>
      <c r="X54" s="32">
        <v>-1129</v>
      </c>
      <c r="Y54" s="32">
        <v>-3049</v>
      </c>
      <c r="Z54" s="32">
        <v>-1387</v>
      </c>
      <c r="AA54" s="32">
        <v>-2961</v>
      </c>
      <c r="AB54" s="32">
        <v>-1770</v>
      </c>
      <c r="AC54" s="84">
        <v>-2684</v>
      </c>
      <c r="AD54" s="32">
        <v>-1957</v>
      </c>
      <c r="AE54" s="32">
        <v>-3095</v>
      </c>
      <c r="AF54" s="32">
        <v>-2221</v>
      </c>
      <c r="AG54" s="32">
        <v>-4701</v>
      </c>
      <c r="AH54" s="32">
        <v>-2327</v>
      </c>
      <c r="AI54" s="32">
        <v>-4953</v>
      </c>
      <c r="AJ54" s="32">
        <v>-1958</v>
      </c>
      <c r="AK54" s="32">
        <v>-3277</v>
      </c>
      <c r="AL54" s="32">
        <f t="shared" ref="AL54:AN55" si="24">AL20</f>
        <v>-2453</v>
      </c>
      <c r="AM54" s="32">
        <f t="shared" si="24"/>
        <v>-3331</v>
      </c>
      <c r="AN54" s="32">
        <f t="shared" si="24"/>
        <v>-2558</v>
      </c>
      <c r="AO54" s="32">
        <v>-4701</v>
      </c>
      <c r="AP54" s="32">
        <f>AP20</f>
        <v>-3243</v>
      </c>
      <c r="AQ54" s="32">
        <f t="shared" si="20"/>
        <v>-4232</v>
      </c>
      <c r="AR54" s="32">
        <f>AR20</f>
        <v>-3702</v>
      </c>
      <c r="AS54" s="32">
        <f t="shared" ref="AS54:AS60" si="25">O54-AR54</f>
        <v>-4753</v>
      </c>
      <c r="AT54" s="32">
        <f>-3498</f>
        <v>-3498</v>
      </c>
      <c r="AU54" s="32">
        <f t="shared" si="21"/>
        <v>-4385</v>
      </c>
    </row>
    <row r="55" spans="1:47" x14ac:dyDescent="0.2">
      <c r="A55" s="5" t="s">
        <v>193</v>
      </c>
      <c r="B55" s="32">
        <f>SUM(ОФР!R55:S55)</f>
        <v>-854</v>
      </c>
      <c r="C55" s="32">
        <f>SUM(ОФР!T55:U55)</f>
        <v>-958</v>
      </c>
      <c r="D55" s="32">
        <f>SUM(ОФР!V55:W55)</f>
        <v>-1023</v>
      </c>
      <c r="E55" s="32">
        <f>SUM(ОФР!X55:Y55)</f>
        <v>-1474</v>
      </c>
      <c r="F55" s="32">
        <f>SUM(ОФР!Z55:AA55)</f>
        <v>-1411</v>
      </c>
      <c r="G55" s="32">
        <f>SUM(ОФР!AB55:AC55)</f>
        <v>-1984</v>
      </c>
      <c r="H55" s="32">
        <f>SUM(ОФР!AD55:AE55)</f>
        <v>-2930</v>
      </c>
      <c r="I55" s="32">
        <f>SUM(ОФР!AF55:AG55)</f>
        <v>-3318</v>
      </c>
      <c r="J55" s="32">
        <f>SUM(ОФР!AH55:AI55)</f>
        <v>-4822</v>
      </c>
      <c r="K55" s="32">
        <f>SUM(ОФР!AJ55:AK55)</f>
        <v>-4560</v>
      </c>
      <c r="L55" s="32">
        <f t="shared" si="22"/>
        <v>-4639</v>
      </c>
      <c r="M55" s="32">
        <f t="shared" si="23"/>
        <v>-5001</v>
      </c>
      <c r="N55" s="32">
        <f>N21</f>
        <v>-5158</v>
      </c>
      <c r="O55" s="32">
        <f>O21</f>
        <v>-6188</v>
      </c>
      <c r="P55" s="32">
        <f>P21</f>
        <v>-7592</v>
      </c>
      <c r="R55" s="32">
        <v>-336</v>
      </c>
      <c r="S55" s="32">
        <v>-518</v>
      </c>
      <c r="T55" s="32">
        <v>-518</v>
      </c>
      <c r="U55" s="32">
        <v>-440</v>
      </c>
      <c r="V55" s="32">
        <v>-389</v>
      </c>
      <c r="W55" s="32">
        <v>-634</v>
      </c>
      <c r="X55" s="32">
        <v>-569</v>
      </c>
      <c r="Y55" s="32">
        <v>-905</v>
      </c>
      <c r="Z55" s="32">
        <v>-460</v>
      </c>
      <c r="AA55" s="32">
        <v>-951</v>
      </c>
      <c r="AB55" s="32">
        <v>-563</v>
      </c>
      <c r="AC55" s="84">
        <v>-1421</v>
      </c>
      <c r="AD55" s="32">
        <v>-577</v>
      </c>
      <c r="AE55" s="32">
        <v>-2353</v>
      </c>
      <c r="AF55" s="32">
        <v>-897</v>
      </c>
      <c r="AG55" s="32">
        <v>-2421</v>
      </c>
      <c r="AH55" s="32">
        <v>-792</v>
      </c>
      <c r="AI55" s="32">
        <v>-4030</v>
      </c>
      <c r="AJ55" s="32">
        <v>-918</v>
      </c>
      <c r="AK55" s="32">
        <v>-3642</v>
      </c>
      <c r="AL55" s="32">
        <f t="shared" si="24"/>
        <v>-1964</v>
      </c>
      <c r="AM55" s="32">
        <f t="shared" si="24"/>
        <v>-2675</v>
      </c>
      <c r="AN55" s="32">
        <f t="shared" si="24"/>
        <v>-1980</v>
      </c>
      <c r="AO55" s="32">
        <v>-3021</v>
      </c>
      <c r="AP55" s="32">
        <f>AP21</f>
        <v>-2364</v>
      </c>
      <c r="AQ55" s="32">
        <f t="shared" si="20"/>
        <v>-2794</v>
      </c>
      <c r="AR55" s="32">
        <f>AR21</f>
        <v>-2965</v>
      </c>
      <c r="AS55" s="32">
        <f t="shared" si="25"/>
        <v>-3223</v>
      </c>
      <c r="AT55" s="32">
        <f>-3784</f>
        <v>-3784</v>
      </c>
      <c r="AU55" s="32">
        <f t="shared" si="21"/>
        <v>-3808</v>
      </c>
    </row>
    <row r="56" spans="1:47" x14ac:dyDescent="0.2">
      <c r="A56" s="5" t="s">
        <v>194</v>
      </c>
      <c r="B56" s="32">
        <f t="shared" ref="B56:O56" si="26">B52+B53+B54+B55</f>
        <v>7671</v>
      </c>
      <c r="C56" s="32">
        <f t="shared" si="26"/>
        <v>6118</v>
      </c>
      <c r="D56" s="32">
        <f t="shared" si="26"/>
        <v>8188</v>
      </c>
      <c r="E56" s="32">
        <f t="shared" si="26"/>
        <v>10144</v>
      </c>
      <c r="F56" s="32">
        <f t="shared" si="26"/>
        <v>7240</v>
      </c>
      <c r="G56" s="32">
        <f t="shared" si="26"/>
        <v>5771</v>
      </c>
      <c r="H56" s="32">
        <f t="shared" si="26"/>
        <v>10019</v>
      </c>
      <c r="I56" s="32">
        <f t="shared" si="26"/>
        <v>6815</v>
      </c>
      <c r="J56" s="32">
        <f t="shared" si="26"/>
        <v>7955</v>
      </c>
      <c r="K56" s="32">
        <f t="shared" si="26"/>
        <v>12120</v>
      </c>
      <c r="L56" s="32">
        <f t="shared" si="26"/>
        <v>17359</v>
      </c>
      <c r="M56" s="32">
        <f t="shared" si="26"/>
        <v>15943</v>
      </c>
      <c r="N56" s="32">
        <f t="shared" si="26"/>
        <v>17338</v>
      </c>
      <c r="O56" s="32">
        <f t="shared" si="26"/>
        <v>26735</v>
      </c>
      <c r="P56" s="32">
        <f>P52+P53+P54+P55</f>
        <v>27373</v>
      </c>
      <c r="R56" s="32">
        <v>3303</v>
      </c>
      <c r="S56" s="32">
        <v>4368</v>
      </c>
      <c r="T56" s="32">
        <v>4368</v>
      </c>
      <c r="U56" s="32">
        <v>1750</v>
      </c>
      <c r="V56" s="32">
        <v>2776</v>
      </c>
      <c r="W56" s="32">
        <v>5412</v>
      </c>
      <c r="X56" s="32">
        <v>3342</v>
      </c>
      <c r="Y56" s="32">
        <v>6802</v>
      </c>
      <c r="Z56" s="32">
        <v>3724</v>
      </c>
      <c r="AA56" s="32">
        <v>3516</v>
      </c>
      <c r="AB56" s="32">
        <v>4464</v>
      </c>
      <c r="AC56" s="84">
        <v>1307</v>
      </c>
      <c r="AD56" s="32">
        <v>1246</v>
      </c>
      <c r="AE56" s="32">
        <v>8773</v>
      </c>
      <c r="AF56" s="32">
        <v>8898</v>
      </c>
      <c r="AG56" s="32">
        <v>-2083</v>
      </c>
      <c r="AH56" s="32">
        <v>4316</v>
      </c>
      <c r="AI56" s="32">
        <v>3639</v>
      </c>
      <c r="AJ56" s="32">
        <v>1181</v>
      </c>
      <c r="AK56" s="32">
        <v>10939</v>
      </c>
      <c r="AL56" s="32">
        <f>AL52+AL54+AL55</f>
        <v>9381</v>
      </c>
      <c r="AM56" s="32">
        <f>AM52+AM54+AM55</f>
        <v>7978</v>
      </c>
      <c r="AN56" s="32">
        <f>SUM(AN52:AN55)</f>
        <v>5220</v>
      </c>
      <c r="AO56" s="32">
        <v>10723</v>
      </c>
      <c r="AP56" s="32">
        <f>SUM(AP52:AP55)</f>
        <v>5639</v>
      </c>
      <c r="AQ56" s="32">
        <f>N56-AP56</f>
        <v>11699</v>
      </c>
      <c r="AR56" s="32">
        <f>SUM(AR52:AR55)</f>
        <v>12901</v>
      </c>
      <c r="AS56" s="32">
        <f>O56-AR56</f>
        <v>13834</v>
      </c>
      <c r="AT56" s="32">
        <f>SUM(AT52:AT55)</f>
        <v>13605</v>
      </c>
      <c r="AU56" s="32">
        <f t="shared" si="21"/>
        <v>13768</v>
      </c>
    </row>
    <row r="57" spans="1:47" x14ac:dyDescent="0.2">
      <c r="A57" s="5" t="s">
        <v>195</v>
      </c>
      <c r="B57" s="32">
        <f>SUM(ОФР!R57:S57)</f>
        <v>265</v>
      </c>
      <c r="C57" s="32">
        <f>SUM(ОФР!T57:U57)</f>
        <v>417</v>
      </c>
      <c r="D57" s="32">
        <f>SUM(ОФР!V57:W57)</f>
        <v>343</v>
      </c>
      <c r="E57" s="32">
        <f>SUM(ОФР!X57:Y57)</f>
        <v>417</v>
      </c>
      <c r="F57" s="32">
        <f>SUM(ОФР!Z57:AA57)</f>
        <v>406</v>
      </c>
      <c r="G57" s="32">
        <f>SUM(ОФР!AB57:AC57)</f>
        <v>434</v>
      </c>
      <c r="H57" s="32">
        <f>SUM(ОФР!AD57:AE57)</f>
        <v>340</v>
      </c>
      <c r="I57" s="32">
        <f>SUM(ОФР!AF57:AG57)</f>
        <v>365</v>
      </c>
      <c r="J57" s="32">
        <f>SUM(ОФР!AH57:AI57)</f>
        <v>542</v>
      </c>
      <c r="K57" s="32">
        <f>SUM(ОФР!AJ57:AK57)</f>
        <v>481</v>
      </c>
      <c r="L57" s="32">
        <f t="shared" si="22"/>
        <v>521</v>
      </c>
      <c r="M57" s="32">
        <f t="shared" si="23"/>
        <v>541</v>
      </c>
      <c r="N57" s="32">
        <v>797</v>
      </c>
      <c r="O57" s="32">
        <f>911</f>
        <v>911</v>
      </c>
      <c r="P57" s="32">
        <f>988</f>
        <v>988</v>
      </c>
      <c r="R57" s="32">
        <v>128</v>
      </c>
      <c r="S57" s="32">
        <v>137</v>
      </c>
      <c r="T57" s="32">
        <v>209</v>
      </c>
      <c r="U57" s="32">
        <v>208</v>
      </c>
      <c r="V57" s="32">
        <v>168</v>
      </c>
      <c r="W57" s="32">
        <v>175</v>
      </c>
      <c r="X57" s="32">
        <v>204</v>
      </c>
      <c r="Y57" s="32">
        <v>213</v>
      </c>
      <c r="Z57" s="32">
        <v>213</v>
      </c>
      <c r="AA57" s="32">
        <v>193</v>
      </c>
      <c r="AB57" s="32">
        <v>240</v>
      </c>
      <c r="AC57" s="84">
        <v>194</v>
      </c>
      <c r="AD57" s="32">
        <v>172</v>
      </c>
      <c r="AE57" s="32">
        <v>168</v>
      </c>
      <c r="AF57" s="32">
        <v>169</v>
      </c>
      <c r="AG57" s="32">
        <v>196</v>
      </c>
      <c r="AH57" s="32">
        <v>270</v>
      </c>
      <c r="AI57" s="32">
        <v>272</v>
      </c>
      <c r="AJ57" s="32">
        <v>385</v>
      </c>
      <c r="AK57" s="32">
        <v>96</v>
      </c>
      <c r="AL57" s="32">
        <f>ОДДС!AL10</f>
        <v>233</v>
      </c>
      <c r="AM57" s="32">
        <v>288</v>
      </c>
      <c r="AN57" s="32">
        <v>273</v>
      </c>
      <c r="AO57" s="32">
        <v>268</v>
      </c>
      <c r="AP57" s="32">
        <f>403</f>
        <v>403</v>
      </c>
      <c r="AQ57" s="32">
        <f>N57-AP57</f>
        <v>394</v>
      </c>
      <c r="AR57" s="32">
        <f>450</f>
        <v>450</v>
      </c>
      <c r="AS57" s="32">
        <f t="shared" si="25"/>
        <v>461</v>
      </c>
      <c r="AT57" s="32">
        <f>459</f>
        <v>459</v>
      </c>
      <c r="AU57" s="32">
        <f t="shared" si="21"/>
        <v>529</v>
      </c>
    </row>
    <row r="58" spans="1:47" x14ac:dyDescent="0.2">
      <c r="A58" s="31" t="s">
        <v>0</v>
      </c>
      <c r="B58" s="59">
        <f>SUM(ОФР!R58:S58)</f>
        <v>7936</v>
      </c>
      <c r="C58" s="59">
        <f>SUM(ОФР!T58:U58)</f>
        <v>6535</v>
      </c>
      <c r="D58" s="59">
        <f>SUM(ОФР!V58:W58)</f>
        <v>8531</v>
      </c>
      <c r="E58" s="59">
        <f>SUM(ОФР!X58:Y58)</f>
        <v>10561</v>
      </c>
      <c r="F58" s="59">
        <f>SUM(ОФР!Z58:AA58)</f>
        <v>7646</v>
      </c>
      <c r="G58" s="59">
        <f>SUM(ОФР!AB58:AC58)</f>
        <v>6205</v>
      </c>
      <c r="H58" s="59">
        <f>SUM(ОФР!AD58:AE58)</f>
        <v>10359</v>
      </c>
      <c r="I58" s="59">
        <f>SUM(ОФР!AF58:AG58)</f>
        <v>7180</v>
      </c>
      <c r="J58" s="59">
        <f>SUM(ОФР!AH58:AI58)</f>
        <v>8497</v>
      </c>
      <c r="K58" s="59">
        <f>SUM(ОФР!AJ58:AK58)</f>
        <v>12601</v>
      </c>
      <c r="L58" s="59">
        <f t="shared" si="22"/>
        <v>17880</v>
      </c>
      <c r="M58" s="59">
        <f t="shared" si="23"/>
        <v>16484</v>
      </c>
      <c r="N58" s="59">
        <f>N56+N57</f>
        <v>18135</v>
      </c>
      <c r="O58" s="59">
        <f>O56+O57</f>
        <v>27646</v>
      </c>
      <c r="P58" s="59">
        <f>P56+P57</f>
        <v>28361</v>
      </c>
      <c r="R58" s="59">
        <v>3431</v>
      </c>
      <c r="S58" s="59">
        <v>4505</v>
      </c>
      <c r="T58" s="59">
        <v>4577</v>
      </c>
      <c r="U58" s="59">
        <v>1958</v>
      </c>
      <c r="V58" s="59">
        <v>2944</v>
      </c>
      <c r="W58" s="59">
        <v>5587</v>
      </c>
      <c r="X58" s="59">
        <v>3546</v>
      </c>
      <c r="Y58" s="59">
        <v>7015</v>
      </c>
      <c r="Z58" s="59">
        <v>3937</v>
      </c>
      <c r="AA58" s="59">
        <v>3709</v>
      </c>
      <c r="AB58" s="59">
        <v>4704</v>
      </c>
      <c r="AC58" s="85">
        <v>1501</v>
      </c>
      <c r="AD58" s="59">
        <v>1418</v>
      </c>
      <c r="AE58" s="59">
        <v>8941</v>
      </c>
      <c r="AF58" s="59">
        <v>9067</v>
      </c>
      <c r="AG58" s="59">
        <v>-1887</v>
      </c>
      <c r="AH58" s="59">
        <v>4586</v>
      </c>
      <c r="AI58" s="59">
        <v>3911</v>
      </c>
      <c r="AJ58" s="59">
        <v>1566</v>
      </c>
      <c r="AK58" s="59">
        <v>11035</v>
      </c>
      <c r="AL58" s="77">
        <f>AL56+AL57</f>
        <v>9614</v>
      </c>
      <c r="AM58" s="77">
        <f>AM56+AM57</f>
        <v>8266</v>
      </c>
      <c r="AN58" s="77">
        <f>SUM(AN56:AN57)</f>
        <v>5493</v>
      </c>
      <c r="AO58" s="77">
        <v>10991</v>
      </c>
      <c r="AP58" s="77">
        <f>SUM(AP56:AP57)</f>
        <v>6042</v>
      </c>
      <c r="AQ58" s="77">
        <f t="shared" si="20"/>
        <v>12093</v>
      </c>
      <c r="AR58" s="77">
        <f>SUM(AR56:AR57)</f>
        <v>13351</v>
      </c>
      <c r="AS58" s="77">
        <f t="shared" si="25"/>
        <v>14295</v>
      </c>
      <c r="AT58" s="77">
        <f>SUM(AT56:AT57)</f>
        <v>14064</v>
      </c>
      <c r="AU58" s="77">
        <f t="shared" si="21"/>
        <v>14297</v>
      </c>
    </row>
    <row r="59" spans="1:47" x14ac:dyDescent="0.2">
      <c r="A59" s="5" t="s">
        <v>196</v>
      </c>
      <c r="B59" s="32">
        <f>SUM(ОФР!R59:S59)</f>
        <v>0</v>
      </c>
      <c r="C59" s="32">
        <f>SUM(ОФР!T59:U59)</f>
        <v>0</v>
      </c>
      <c r="D59" s="32">
        <f>SUM(ОФР!V59:W59)</f>
        <v>0</v>
      </c>
      <c r="E59" s="32">
        <f>SUM(ОФР!X59:Y59)</f>
        <v>0</v>
      </c>
      <c r="F59" s="32">
        <f>SUM(ОФР!Z59:AA59)</f>
        <v>0</v>
      </c>
      <c r="G59" s="32">
        <f>SUM(ОФР!AB59:AC59)</f>
        <v>0</v>
      </c>
      <c r="H59" s="32">
        <f>SUM(ОФР!AD59:AE59)</f>
        <v>0</v>
      </c>
      <c r="I59" s="32">
        <f>SUM(ОФР!AF59:AG59)</f>
        <v>0</v>
      </c>
      <c r="J59" s="32">
        <f>SUM(ОФР!AH59:AI59)</f>
        <v>2678</v>
      </c>
      <c r="K59" s="32">
        <f>SUM(ОФР!AJ59:AK59)</f>
        <v>3881</v>
      </c>
      <c r="L59" s="32">
        <f t="shared" si="22"/>
        <v>3259</v>
      </c>
      <c r="M59" s="32">
        <f t="shared" si="23"/>
        <v>2311</v>
      </c>
      <c r="N59" s="32">
        <v>1290</v>
      </c>
      <c r="O59" s="32">
        <f>1047</f>
        <v>1047</v>
      </c>
      <c r="P59" s="32">
        <f>1416</f>
        <v>1416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32">
        <v>0</v>
      </c>
      <c r="AF59" s="32">
        <v>0</v>
      </c>
      <c r="AG59" s="32">
        <v>0</v>
      </c>
      <c r="AH59" s="32">
        <v>1014</v>
      </c>
      <c r="AI59" s="32">
        <v>1664</v>
      </c>
      <c r="AJ59" s="32">
        <v>1412</v>
      </c>
      <c r="AK59" s="32">
        <v>2469</v>
      </c>
      <c r="AL59" s="86">
        <v>1522</v>
      </c>
      <c r="AM59" s="86">
        <v>1737</v>
      </c>
      <c r="AN59" s="86">
        <v>751</v>
      </c>
      <c r="AO59" s="86">
        <v>1560</v>
      </c>
      <c r="AP59" s="86">
        <v>646</v>
      </c>
      <c r="AQ59" s="86">
        <f t="shared" si="20"/>
        <v>644</v>
      </c>
      <c r="AR59" s="86">
        <f>631</f>
        <v>631</v>
      </c>
      <c r="AS59" s="86">
        <f t="shared" si="25"/>
        <v>416</v>
      </c>
      <c r="AT59" s="86">
        <f>316</f>
        <v>316</v>
      </c>
      <c r="AU59" s="86">
        <f t="shared" si="21"/>
        <v>1100</v>
      </c>
    </row>
    <row r="60" spans="1:47" x14ac:dyDescent="0.2">
      <c r="A60" s="31" t="s">
        <v>197</v>
      </c>
      <c r="B60" s="59">
        <f>SUM(ОФР!R60:S60)</f>
        <v>7936</v>
      </c>
      <c r="C60" s="59">
        <f>SUM(ОФР!T60:U60)</f>
        <v>6535</v>
      </c>
      <c r="D60" s="59">
        <f>SUM(ОФР!V60:W60)</f>
        <v>8531</v>
      </c>
      <c r="E60" s="59">
        <f>SUM(ОФР!X60:Y60)</f>
        <v>10561</v>
      </c>
      <c r="F60" s="59">
        <f>SUM(ОФР!Z60:AA60)</f>
        <v>7646</v>
      </c>
      <c r="G60" s="59">
        <f>SUM(ОФР!AB60:AC60)</f>
        <v>6205</v>
      </c>
      <c r="H60" s="59">
        <f>SUM(ОФР!AD60:AE60)</f>
        <v>10359</v>
      </c>
      <c r="I60" s="59">
        <f>SUM(ОФР!AF60:AG60)</f>
        <v>7180</v>
      </c>
      <c r="J60" s="59">
        <f>SUM(ОФР!AH60:AI60)</f>
        <v>11175</v>
      </c>
      <c r="K60" s="59">
        <f>SUM(ОФР!AJ60:AK60)</f>
        <v>16482</v>
      </c>
      <c r="L60" s="59">
        <f t="shared" si="22"/>
        <v>21139</v>
      </c>
      <c r="M60" s="59">
        <f t="shared" si="23"/>
        <v>18795</v>
      </c>
      <c r="N60" s="59">
        <f>N58+N59</f>
        <v>19425</v>
      </c>
      <c r="O60" s="59">
        <f>O58+O59</f>
        <v>28693</v>
      </c>
      <c r="P60" s="59">
        <f>P58+P59</f>
        <v>29777</v>
      </c>
      <c r="R60" s="59">
        <v>3431</v>
      </c>
      <c r="S60" s="59">
        <v>4505</v>
      </c>
      <c r="T60" s="59">
        <v>4577</v>
      </c>
      <c r="U60" s="59">
        <v>1958</v>
      </c>
      <c r="V60" s="59">
        <v>2944</v>
      </c>
      <c r="W60" s="59">
        <v>5587</v>
      </c>
      <c r="X60" s="59">
        <v>3546</v>
      </c>
      <c r="Y60" s="59">
        <v>7015</v>
      </c>
      <c r="Z60" s="59">
        <v>3937</v>
      </c>
      <c r="AA60" s="59">
        <v>3709</v>
      </c>
      <c r="AB60" s="59">
        <v>4704</v>
      </c>
      <c r="AC60" s="85">
        <v>1501</v>
      </c>
      <c r="AD60" s="59">
        <v>1418</v>
      </c>
      <c r="AE60" s="59">
        <v>8941</v>
      </c>
      <c r="AF60" s="59">
        <v>9067</v>
      </c>
      <c r="AG60" s="59">
        <v>-1887</v>
      </c>
      <c r="AH60" s="59">
        <v>5600</v>
      </c>
      <c r="AI60" s="59">
        <v>5575</v>
      </c>
      <c r="AJ60" s="59">
        <v>2978</v>
      </c>
      <c r="AK60" s="59">
        <v>13504</v>
      </c>
      <c r="AL60" s="77">
        <v>11136</v>
      </c>
      <c r="AM60" s="77">
        <v>10003</v>
      </c>
      <c r="AN60" s="77">
        <f>SUM(AN58:AN59)</f>
        <v>6244</v>
      </c>
      <c r="AO60" s="77">
        <v>12551</v>
      </c>
      <c r="AP60" s="77">
        <f>SUM(AP58:AP59)</f>
        <v>6688</v>
      </c>
      <c r="AQ60" s="77">
        <f t="shared" si="20"/>
        <v>12737</v>
      </c>
      <c r="AR60" s="77">
        <f>SUM(AR58:AR59)</f>
        <v>13982</v>
      </c>
      <c r="AS60" s="77">
        <f t="shared" si="25"/>
        <v>14711</v>
      </c>
      <c r="AT60" s="77">
        <f>SUM(AT58:AT59)</f>
        <v>14380</v>
      </c>
      <c r="AU60" s="77">
        <f t="shared" si="21"/>
        <v>15397</v>
      </c>
    </row>
  </sheetData>
  <phoneticPr fontId="32" type="noConversion"/>
  <hyperlinks>
    <hyperlink ref="A3" location="Содержание!A1" display="К содержанию" xr:uid="{7F1490DE-722E-459F-8596-3C70C88FDE29}"/>
    <hyperlink ref="A49" location="Содержание!A1" display="К содержанию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E68"/>
  <sheetViews>
    <sheetView showGridLines="0" topLeftCell="A35" zoomScaleNormal="100" workbookViewId="0">
      <pane xSplit="1" topLeftCell="U1" activePane="topRight" state="frozen"/>
      <selection pane="topRight" activeCell="AE8" sqref="AE8:AE68"/>
    </sheetView>
  </sheetViews>
  <sheetFormatPr defaultColWidth="9.140625" defaultRowHeight="14.25" x14ac:dyDescent="0.2"/>
  <cols>
    <col min="1" max="1" width="71.140625" style="38" bestFit="1" customWidth="1"/>
    <col min="2" max="23" width="10.140625" style="5" bestFit="1" customWidth="1"/>
    <col min="24" max="24" width="10.7109375" style="5" bestFit="1" customWidth="1"/>
    <col min="25" max="25" width="10.140625" style="5" bestFit="1" customWidth="1"/>
    <col min="26" max="27" width="10.7109375" style="5" bestFit="1" customWidth="1"/>
    <col min="28" max="28" width="10.7109375" style="38" bestFit="1" customWidth="1"/>
    <col min="29" max="31" width="10.140625" style="38" bestFit="1" customWidth="1"/>
    <col min="32" max="16384" width="9.140625" style="38"/>
  </cols>
  <sheetData>
    <row r="2" spans="1:31" ht="18" x14ac:dyDescent="0.25">
      <c r="A2" s="51" t="s">
        <v>138</v>
      </c>
    </row>
    <row r="3" spans="1:31" ht="15" x14ac:dyDescent="0.25">
      <c r="A3" s="113" t="s">
        <v>23</v>
      </c>
    </row>
    <row r="5" spans="1:31" x14ac:dyDescent="0.2">
      <c r="A5" s="33" t="s">
        <v>139</v>
      </c>
      <c r="B5" s="90">
        <v>40724</v>
      </c>
      <c r="C5" s="90">
        <v>40908</v>
      </c>
      <c r="D5" s="90">
        <v>41090</v>
      </c>
      <c r="E5" s="90">
        <v>41274</v>
      </c>
      <c r="F5" s="90">
        <v>41455</v>
      </c>
      <c r="G5" s="90">
        <v>41639</v>
      </c>
      <c r="H5" s="90">
        <v>41820</v>
      </c>
      <c r="I5" s="90">
        <v>42004</v>
      </c>
      <c r="J5" s="90">
        <v>42185</v>
      </c>
      <c r="K5" s="90">
        <v>42369</v>
      </c>
      <c r="L5" s="90">
        <v>42551</v>
      </c>
      <c r="M5" s="90">
        <v>42735</v>
      </c>
      <c r="N5" s="90">
        <v>42916</v>
      </c>
      <c r="O5" s="90">
        <v>43100</v>
      </c>
      <c r="P5" s="90">
        <v>43281</v>
      </c>
      <c r="Q5" s="90">
        <v>43465</v>
      </c>
      <c r="R5" s="90">
        <v>43646</v>
      </c>
      <c r="S5" s="90">
        <v>43830</v>
      </c>
      <c r="T5" s="90">
        <v>44012</v>
      </c>
      <c r="U5" s="90">
        <v>44196</v>
      </c>
      <c r="V5" s="91">
        <v>44377</v>
      </c>
      <c r="W5" s="90">
        <v>44561</v>
      </c>
      <c r="X5" s="90" t="s">
        <v>8</v>
      </c>
      <c r="Y5" s="90">
        <v>44926</v>
      </c>
      <c r="Z5" s="90" t="s">
        <v>9</v>
      </c>
      <c r="AA5" s="90" t="s">
        <v>10</v>
      </c>
      <c r="AB5" s="90" t="s">
        <v>282</v>
      </c>
      <c r="AC5" s="90">
        <v>45657</v>
      </c>
      <c r="AD5" s="90">
        <v>45838</v>
      </c>
      <c r="AE5" s="90">
        <v>46022</v>
      </c>
    </row>
    <row r="6" spans="1:31" x14ac:dyDescent="0.2">
      <c r="A6" s="30" t="s">
        <v>140</v>
      </c>
    </row>
    <row r="7" spans="1:31" x14ac:dyDescent="0.2">
      <c r="A7" s="41" t="s">
        <v>141</v>
      </c>
    </row>
    <row r="8" spans="1:31" x14ac:dyDescent="0.2">
      <c r="A8" s="5" t="s">
        <v>142</v>
      </c>
      <c r="B8" s="32">
        <v>1696</v>
      </c>
      <c r="C8" s="32">
        <v>2009</v>
      </c>
      <c r="D8" s="32">
        <v>2152</v>
      </c>
      <c r="E8" s="32">
        <v>2380</v>
      </c>
      <c r="F8" s="32">
        <v>1853</v>
      </c>
      <c r="G8" s="32">
        <v>1962</v>
      </c>
      <c r="H8" s="32">
        <v>2326</v>
      </c>
      <c r="I8" s="32">
        <v>2503</v>
      </c>
      <c r="J8" s="32">
        <v>2349</v>
      </c>
      <c r="K8" s="32">
        <v>2479</v>
      </c>
      <c r="L8" s="32">
        <v>2433</v>
      </c>
      <c r="M8" s="32">
        <v>2889</v>
      </c>
      <c r="N8" s="32">
        <v>2927</v>
      </c>
      <c r="O8" s="32">
        <v>3085</v>
      </c>
      <c r="P8" s="32">
        <v>3162</v>
      </c>
      <c r="Q8" s="32">
        <v>3195</v>
      </c>
      <c r="R8" s="32">
        <v>3637</v>
      </c>
      <c r="S8" s="32">
        <v>3561</v>
      </c>
      <c r="T8" s="32">
        <v>3431</v>
      </c>
      <c r="U8" s="32">
        <v>3508</v>
      </c>
      <c r="V8" s="32">
        <v>3334</v>
      </c>
      <c r="W8" s="5">
        <v>4050</v>
      </c>
      <c r="X8" s="32">
        <v>4494</v>
      </c>
      <c r="Y8" s="32">
        <v>4531</v>
      </c>
      <c r="Z8" s="32">
        <v>4983</v>
      </c>
      <c r="AA8" s="32">
        <v>6184</v>
      </c>
      <c r="AB8" s="32">
        <f>6743</f>
        <v>6743</v>
      </c>
      <c r="AC8" s="32">
        <f>7259</f>
        <v>7259</v>
      </c>
      <c r="AD8" s="32">
        <f>7448</f>
        <v>7448</v>
      </c>
      <c r="AE8" s="32">
        <f>8803</f>
        <v>8803</v>
      </c>
    </row>
    <row r="9" spans="1:31" x14ac:dyDescent="0.2">
      <c r="A9" s="5" t="s">
        <v>143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X9" s="32">
        <v>194</v>
      </c>
      <c r="Y9" s="32">
        <v>2652</v>
      </c>
      <c r="Z9" s="32">
        <v>2645</v>
      </c>
      <c r="AA9" s="32">
        <v>2956</v>
      </c>
      <c r="AB9" s="32">
        <f>6599</f>
        <v>6599</v>
      </c>
      <c r="AC9" s="32">
        <f>6714</f>
        <v>6714</v>
      </c>
      <c r="AD9" s="32">
        <f>8589</f>
        <v>8589</v>
      </c>
      <c r="AE9" s="32">
        <f>10927</f>
        <v>10927</v>
      </c>
    </row>
    <row r="10" spans="1:31" x14ac:dyDescent="0.2">
      <c r="A10" s="5" t="s">
        <v>144</v>
      </c>
      <c r="B10" s="32"/>
      <c r="C10" s="32">
        <v>0</v>
      </c>
      <c r="D10" s="32">
        <v>0</v>
      </c>
      <c r="E10" s="32">
        <v>0</v>
      </c>
      <c r="F10" s="32">
        <v>638</v>
      </c>
      <c r="G10" s="32">
        <v>1142</v>
      </c>
      <c r="H10" s="32">
        <v>1052</v>
      </c>
      <c r="I10" s="32">
        <v>808</v>
      </c>
      <c r="J10" s="32">
        <v>618</v>
      </c>
      <c r="K10" s="32">
        <v>538</v>
      </c>
      <c r="L10" s="32">
        <v>482</v>
      </c>
      <c r="M10" s="32">
        <v>561</v>
      </c>
      <c r="N10" s="32">
        <v>354</v>
      </c>
      <c r="O10" s="32">
        <v>333</v>
      </c>
      <c r="P10" s="32">
        <v>316</v>
      </c>
      <c r="Q10" s="32">
        <v>306</v>
      </c>
      <c r="R10" s="32">
        <v>1123</v>
      </c>
      <c r="S10" s="32">
        <v>1065</v>
      </c>
      <c r="T10" s="32">
        <v>853</v>
      </c>
      <c r="U10" s="32">
        <v>691</v>
      </c>
      <c r="V10" s="32">
        <v>568</v>
      </c>
      <c r="W10" s="5">
        <v>416</v>
      </c>
      <c r="X10" s="32">
        <v>405</v>
      </c>
      <c r="Y10" s="32">
        <v>396</v>
      </c>
      <c r="Z10" s="32">
        <v>347</v>
      </c>
      <c r="AA10" s="32">
        <v>344</v>
      </c>
      <c r="AB10" s="32">
        <f>311</f>
        <v>311</v>
      </c>
      <c r="AC10" s="32">
        <f>154</f>
        <v>154</v>
      </c>
      <c r="AD10" s="32">
        <f>160</f>
        <v>160</v>
      </c>
      <c r="AE10" s="32">
        <f>2543</f>
        <v>2543</v>
      </c>
    </row>
    <row r="11" spans="1:31" x14ac:dyDescent="0.2">
      <c r="A11" s="5" t="s">
        <v>145</v>
      </c>
      <c r="B11" s="32">
        <v>102</v>
      </c>
      <c r="C11" s="32">
        <v>88</v>
      </c>
      <c r="D11" s="32">
        <v>48</v>
      </c>
      <c r="E11" s="32">
        <v>60</v>
      </c>
      <c r="F11" s="32">
        <v>241</v>
      </c>
      <c r="G11" s="32">
        <v>275</v>
      </c>
      <c r="H11" s="32">
        <v>684</v>
      </c>
      <c r="I11" s="32">
        <v>1036</v>
      </c>
      <c r="J11" s="32">
        <v>684</v>
      </c>
      <c r="K11" s="32">
        <v>578</v>
      </c>
      <c r="L11" s="32">
        <v>556</v>
      </c>
      <c r="M11" s="32">
        <v>545</v>
      </c>
      <c r="N11" s="32">
        <v>630</v>
      </c>
      <c r="O11" s="32">
        <v>739</v>
      </c>
      <c r="P11" s="32">
        <v>722</v>
      </c>
      <c r="Q11" s="32">
        <v>758</v>
      </c>
      <c r="R11" s="32">
        <v>762</v>
      </c>
      <c r="S11" s="32">
        <v>190</v>
      </c>
      <c r="T11" s="32">
        <v>71</v>
      </c>
      <c r="U11" s="32">
        <v>424</v>
      </c>
      <c r="V11" s="32">
        <v>378</v>
      </c>
      <c r="W11" s="5">
        <v>1489</v>
      </c>
      <c r="X11" s="32">
        <v>795</v>
      </c>
      <c r="Y11" s="32">
        <v>583</v>
      </c>
      <c r="Z11" s="32">
        <v>592</v>
      </c>
      <c r="AA11" s="32">
        <v>13427</v>
      </c>
      <c r="AB11" s="32">
        <f>12393</f>
        <v>12393</v>
      </c>
      <c r="AC11" s="32">
        <f>7069</f>
        <v>7069</v>
      </c>
      <c r="AD11" s="32">
        <f>5581</f>
        <v>5581</v>
      </c>
      <c r="AE11" s="32">
        <f>4289</f>
        <v>4289</v>
      </c>
    </row>
    <row r="12" spans="1:31" x14ac:dyDescent="0.2">
      <c r="A12" s="5" t="s">
        <v>146</v>
      </c>
      <c r="B12" s="32">
        <v>815</v>
      </c>
      <c r="C12" s="32">
        <v>551</v>
      </c>
      <c r="D12" s="32">
        <v>472</v>
      </c>
      <c r="E12" s="32">
        <v>433</v>
      </c>
      <c r="F12" s="32">
        <v>390</v>
      </c>
      <c r="G12" s="32">
        <v>1332</v>
      </c>
      <c r="H12" s="32">
        <v>756</v>
      </c>
      <c r="I12" s="32">
        <v>2521</v>
      </c>
      <c r="J12" s="32">
        <v>2164</v>
      </c>
      <c r="K12" s="32">
        <v>3303</v>
      </c>
      <c r="L12" s="32">
        <v>3801</v>
      </c>
      <c r="M12" s="32">
        <v>5063</v>
      </c>
      <c r="N12" s="32">
        <v>5633</v>
      </c>
      <c r="O12" s="32">
        <v>5867</v>
      </c>
      <c r="P12" s="32">
        <v>6539</v>
      </c>
      <c r="Q12" s="32">
        <v>5777</v>
      </c>
      <c r="R12" s="32">
        <v>5586</v>
      </c>
      <c r="S12" s="32">
        <v>4692</v>
      </c>
      <c r="T12" s="32">
        <v>4442</v>
      </c>
      <c r="U12" s="32">
        <v>4253</v>
      </c>
      <c r="V12" s="32">
        <v>3554</v>
      </c>
      <c r="W12" s="5">
        <v>3345</v>
      </c>
      <c r="X12" s="32">
        <v>2847</v>
      </c>
      <c r="Y12" s="32">
        <v>1569</v>
      </c>
      <c r="Z12" s="32">
        <v>882</v>
      </c>
      <c r="AA12" s="32">
        <v>1446</v>
      </c>
      <c r="AB12" s="32">
        <f>1738</f>
        <v>1738</v>
      </c>
      <c r="AC12" s="32">
        <f>3090</f>
        <v>3090</v>
      </c>
      <c r="AD12" s="32">
        <f>4668</f>
        <v>4668</v>
      </c>
      <c r="AE12" s="32">
        <v>5061</v>
      </c>
    </row>
    <row r="13" spans="1:31" x14ac:dyDescent="0.2">
      <c r="A13" s="5" t="s">
        <v>147</v>
      </c>
      <c r="B13" s="32">
        <v>440</v>
      </c>
      <c r="C13" s="32">
        <v>679</v>
      </c>
      <c r="D13" s="32">
        <v>536</v>
      </c>
      <c r="E13" s="32">
        <v>434</v>
      </c>
      <c r="F13" s="32">
        <v>433</v>
      </c>
      <c r="G13" s="32">
        <v>560</v>
      </c>
      <c r="H13" s="32">
        <v>710</v>
      </c>
      <c r="I13" s="32">
        <v>885</v>
      </c>
      <c r="J13" s="32">
        <v>1040</v>
      </c>
      <c r="K13" s="32">
        <v>1159</v>
      </c>
      <c r="L13" s="32">
        <v>1412</v>
      </c>
      <c r="M13" s="32">
        <v>1414</v>
      </c>
      <c r="N13" s="32">
        <v>1617</v>
      </c>
      <c r="O13" s="32">
        <v>2173</v>
      </c>
      <c r="P13" s="32">
        <v>2731</v>
      </c>
      <c r="Q13" s="32">
        <v>2806</v>
      </c>
      <c r="R13" s="32">
        <v>3297</v>
      </c>
      <c r="S13" s="32">
        <v>3921</v>
      </c>
      <c r="T13" s="32">
        <v>5221</v>
      </c>
      <c r="U13" s="32">
        <v>6692</v>
      </c>
      <c r="V13" s="32">
        <v>7705</v>
      </c>
      <c r="W13" s="5">
        <v>7347</v>
      </c>
      <c r="X13" s="32">
        <v>9548</v>
      </c>
      <c r="Y13" s="32">
        <v>11373</v>
      </c>
      <c r="Z13" s="32">
        <v>11751</v>
      </c>
      <c r="AA13" s="32">
        <v>11298</v>
      </c>
      <c r="AB13" s="32">
        <f>13138</f>
        <v>13138</v>
      </c>
      <c r="AC13" s="32">
        <f>17670</f>
        <v>17670</v>
      </c>
      <c r="AD13" s="32">
        <f>22737</f>
        <v>22737</v>
      </c>
      <c r="AE13" s="32">
        <f>25878</f>
        <v>25878</v>
      </c>
    </row>
    <row r="14" spans="1:31" x14ac:dyDescent="0.2">
      <c r="A14" s="5" t="s">
        <v>148</v>
      </c>
      <c r="B14" s="32">
        <v>5</v>
      </c>
      <c r="C14" s="32">
        <v>92</v>
      </c>
      <c r="D14" s="32">
        <v>10</v>
      </c>
      <c r="E14" s="32">
        <v>11</v>
      </c>
      <c r="F14" s="32">
        <v>10</v>
      </c>
      <c r="G14" s="32">
        <v>10</v>
      </c>
      <c r="H14" s="32">
        <v>10</v>
      </c>
      <c r="I14" s="32">
        <v>10</v>
      </c>
      <c r="J14" s="32">
        <v>10</v>
      </c>
      <c r="K14" s="32">
        <v>5</v>
      </c>
      <c r="L14" s="32">
        <v>2</v>
      </c>
      <c r="M14" s="32">
        <v>0</v>
      </c>
      <c r="N14" s="32"/>
      <c r="O14" s="32">
        <v>0</v>
      </c>
      <c r="P14" s="32"/>
      <c r="Q14" s="32">
        <v>0</v>
      </c>
      <c r="R14" s="32"/>
      <c r="S14" s="32">
        <v>0</v>
      </c>
      <c r="T14" s="32"/>
      <c r="U14" s="32">
        <v>0</v>
      </c>
      <c r="W14" s="32">
        <v>0</v>
      </c>
      <c r="X14" s="32">
        <v>0</v>
      </c>
      <c r="Y14" s="32"/>
      <c r="Z14" s="32">
        <v>0</v>
      </c>
      <c r="AA14" s="32">
        <v>0</v>
      </c>
      <c r="AB14" s="32">
        <f>0</f>
        <v>0</v>
      </c>
      <c r="AC14" s="32">
        <f>0</f>
        <v>0</v>
      </c>
      <c r="AD14" s="32">
        <f>0</f>
        <v>0</v>
      </c>
      <c r="AE14" s="32">
        <f>0</f>
        <v>0</v>
      </c>
    </row>
    <row r="15" spans="1:31" x14ac:dyDescent="0.2">
      <c r="A15" s="34" t="s">
        <v>149</v>
      </c>
      <c r="B15" s="75">
        <v>3058</v>
      </c>
      <c r="C15" s="75">
        <v>3419</v>
      </c>
      <c r="D15" s="75">
        <v>3218</v>
      </c>
      <c r="E15" s="75">
        <v>3318</v>
      </c>
      <c r="F15" s="75">
        <v>3565</v>
      </c>
      <c r="G15" s="75">
        <v>5281</v>
      </c>
      <c r="H15" s="75">
        <v>5538</v>
      </c>
      <c r="I15" s="75">
        <v>7763</v>
      </c>
      <c r="J15" s="75">
        <v>6865</v>
      </c>
      <c r="K15" s="75">
        <v>8062</v>
      </c>
      <c r="L15" s="75">
        <v>8686</v>
      </c>
      <c r="M15" s="75">
        <v>10472</v>
      </c>
      <c r="N15" s="75">
        <v>11161</v>
      </c>
      <c r="O15" s="75">
        <v>12197</v>
      </c>
      <c r="P15" s="75">
        <v>13470</v>
      </c>
      <c r="Q15" s="75">
        <v>12842</v>
      </c>
      <c r="R15" s="75">
        <v>14405</v>
      </c>
      <c r="S15" s="75">
        <v>13429</v>
      </c>
      <c r="T15" s="75">
        <v>14018</v>
      </c>
      <c r="U15" s="75">
        <v>15568</v>
      </c>
      <c r="V15" s="75">
        <v>15539</v>
      </c>
      <c r="W15" s="37">
        <v>16647</v>
      </c>
      <c r="X15" s="75">
        <f>SUM(X8:X14)</f>
        <v>18283</v>
      </c>
      <c r="Y15" s="75">
        <v>21104</v>
      </c>
      <c r="Z15" s="75">
        <f t="shared" ref="Z15:AE15" si="0">SUM(Z8:Z14)</f>
        <v>21200</v>
      </c>
      <c r="AA15" s="75">
        <f t="shared" si="0"/>
        <v>35655</v>
      </c>
      <c r="AB15" s="75">
        <f t="shared" si="0"/>
        <v>40922</v>
      </c>
      <c r="AC15" s="75">
        <f t="shared" si="0"/>
        <v>41956</v>
      </c>
      <c r="AD15" s="75">
        <f t="shared" si="0"/>
        <v>49183</v>
      </c>
      <c r="AE15" s="75">
        <f t="shared" si="0"/>
        <v>57501</v>
      </c>
    </row>
    <row r="16" spans="1:31" x14ac:dyDescent="0.2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AB16" s="5"/>
      <c r="AC16" s="5"/>
      <c r="AD16" s="5"/>
      <c r="AE16" s="5"/>
    </row>
    <row r="17" spans="1:31" x14ac:dyDescent="0.2">
      <c r="A17" s="41" t="s">
        <v>150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AB17" s="5"/>
      <c r="AC17" s="5"/>
      <c r="AD17" s="5"/>
      <c r="AE17" s="5"/>
    </row>
    <row r="18" spans="1:31" x14ac:dyDescent="0.2">
      <c r="A18" s="37" t="s">
        <v>151</v>
      </c>
      <c r="B18" s="75">
        <v>27867</v>
      </c>
      <c r="C18" s="75">
        <v>32047</v>
      </c>
      <c r="D18" s="75">
        <v>34613</v>
      </c>
      <c r="E18" s="75">
        <v>41522</v>
      </c>
      <c r="F18" s="75">
        <v>44056</v>
      </c>
      <c r="G18" s="75">
        <v>50057</v>
      </c>
      <c r="H18" s="75">
        <v>57132</v>
      </c>
      <c r="I18" s="75">
        <v>57525</v>
      </c>
      <c r="J18" s="75">
        <v>61131</v>
      </c>
      <c r="K18" s="75">
        <v>67722</v>
      </c>
      <c r="L18" s="75">
        <v>69237</v>
      </c>
      <c r="M18" s="75">
        <v>71261</v>
      </c>
      <c r="N18" s="75">
        <v>77924</v>
      </c>
      <c r="O18" s="75">
        <v>78122</v>
      </c>
      <c r="P18" s="75">
        <v>81863</v>
      </c>
      <c r="Q18" s="75">
        <v>67694</v>
      </c>
      <c r="R18" s="75">
        <v>106579</v>
      </c>
      <c r="S18" s="75">
        <v>100689</v>
      </c>
      <c r="T18" s="75">
        <v>97357</v>
      </c>
      <c r="U18" s="75">
        <v>115445</v>
      </c>
      <c r="V18" s="75">
        <f>SUM(V19:V22)</f>
        <v>110489</v>
      </c>
      <c r="W18" s="75">
        <v>110153</v>
      </c>
      <c r="X18" s="75">
        <f>SUM(X19:X22)</f>
        <v>134107</v>
      </c>
      <c r="Y18" s="75">
        <v>142519</v>
      </c>
      <c r="Z18" s="75">
        <f t="shared" ref="Z18:AD18" si="1">SUM(Z19:Z22)</f>
        <v>153875</v>
      </c>
      <c r="AA18" s="75">
        <f t="shared" si="1"/>
        <v>152035</v>
      </c>
      <c r="AB18" s="75">
        <f t="shared" si="1"/>
        <v>142139</v>
      </c>
      <c r="AC18" s="75">
        <f t="shared" si="1"/>
        <v>171449</v>
      </c>
      <c r="AD18" s="75">
        <f t="shared" si="1"/>
        <v>152307</v>
      </c>
      <c r="AE18" s="75">
        <f>SUM(AE19:AE22)</f>
        <v>180902</v>
      </c>
    </row>
    <row r="19" spans="1:31" x14ac:dyDescent="0.2">
      <c r="A19" s="60" t="s">
        <v>152</v>
      </c>
      <c r="B19" s="32">
        <v>18892</v>
      </c>
      <c r="C19" s="32">
        <v>14610</v>
      </c>
      <c r="D19" s="32">
        <v>24435</v>
      </c>
      <c r="E19" s="32">
        <v>26612</v>
      </c>
      <c r="F19" s="32">
        <v>34148</v>
      </c>
      <c r="G19" s="32">
        <v>31554</v>
      </c>
      <c r="H19" s="32">
        <v>39669</v>
      </c>
      <c r="I19" s="32">
        <v>35239</v>
      </c>
      <c r="J19" s="32">
        <v>41551</v>
      </c>
      <c r="K19" s="32">
        <v>41335</v>
      </c>
      <c r="L19" s="32">
        <v>43996</v>
      </c>
      <c r="M19" s="32">
        <v>48720</v>
      </c>
      <c r="N19" s="32">
        <v>56504</v>
      </c>
      <c r="O19" s="32">
        <v>57179</v>
      </c>
      <c r="P19" s="32">
        <v>67288</v>
      </c>
      <c r="Q19" s="32">
        <v>52105</v>
      </c>
      <c r="R19" s="32">
        <v>91670</v>
      </c>
      <c r="S19" s="32">
        <v>87631</v>
      </c>
      <c r="T19" s="32">
        <v>83782</v>
      </c>
      <c r="U19" s="32">
        <v>104877</v>
      </c>
      <c r="V19" s="32">
        <v>99402</v>
      </c>
      <c r="W19" s="32">
        <v>99266</v>
      </c>
      <c r="X19" s="32">
        <v>111582</v>
      </c>
      <c r="Y19" s="32">
        <v>123522</v>
      </c>
      <c r="Z19" s="32">
        <v>125443</v>
      </c>
      <c r="AA19" s="32">
        <f>119038</f>
        <v>119038</v>
      </c>
      <c r="AB19" s="32">
        <f>116646</f>
        <v>116646</v>
      </c>
      <c r="AC19" s="32">
        <f>148085</f>
        <v>148085</v>
      </c>
      <c r="AD19" s="32">
        <f>136010</f>
        <v>136010</v>
      </c>
      <c r="AE19" s="125">
        <f>170494</f>
        <v>170494</v>
      </c>
    </row>
    <row r="20" spans="1:31" x14ac:dyDescent="0.2">
      <c r="A20" s="60" t="s">
        <v>153</v>
      </c>
      <c r="B20" s="32">
        <v>9069</v>
      </c>
      <c r="C20" s="32">
        <v>10328</v>
      </c>
      <c r="D20" s="32">
        <v>9758</v>
      </c>
      <c r="E20" s="32">
        <v>11605</v>
      </c>
      <c r="F20" s="32">
        <v>8992</v>
      </c>
      <c r="G20" s="32">
        <v>16086</v>
      </c>
      <c r="H20" s="32">
        <v>16664</v>
      </c>
      <c r="I20" s="32">
        <v>19797</v>
      </c>
      <c r="J20" s="32">
        <v>19269</v>
      </c>
      <c r="K20" s="32">
        <v>26701</v>
      </c>
      <c r="L20" s="32">
        <v>25712</v>
      </c>
      <c r="M20" s="32">
        <v>23006</v>
      </c>
      <c r="N20" s="32">
        <v>21984</v>
      </c>
      <c r="O20" s="32">
        <v>21873</v>
      </c>
      <c r="P20" s="32">
        <v>16254</v>
      </c>
      <c r="Q20" s="32">
        <v>16141</v>
      </c>
      <c r="R20" s="32">
        <v>16218</v>
      </c>
      <c r="S20" s="32">
        <v>15215</v>
      </c>
      <c r="T20" s="32">
        <v>16008</v>
      </c>
      <c r="U20" s="32">
        <v>13103</v>
      </c>
      <c r="V20" s="32">
        <v>14938</v>
      </c>
      <c r="W20" s="32">
        <v>16544</v>
      </c>
      <c r="X20" s="32">
        <v>22333</v>
      </c>
      <c r="Y20" s="32">
        <v>20526</v>
      </c>
      <c r="Z20" s="32">
        <v>28985</v>
      </c>
      <c r="AA20" s="32">
        <f>31718</f>
        <v>31718</v>
      </c>
      <c r="AB20" s="32">
        <f>24635</f>
        <v>24635</v>
      </c>
      <c r="AC20" s="32">
        <f>22169</f>
        <v>22169</v>
      </c>
      <c r="AD20" s="32">
        <f>12489</f>
        <v>12489</v>
      </c>
      <c r="AE20" s="125">
        <f>14806</f>
        <v>14806</v>
      </c>
    </row>
    <row r="21" spans="1:31" x14ac:dyDescent="0.2">
      <c r="A21" s="60" t="s">
        <v>154</v>
      </c>
      <c r="B21" s="32">
        <v>565</v>
      </c>
      <c r="C21" s="32">
        <v>7252</v>
      </c>
      <c r="D21" s="32">
        <v>562</v>
      </c>
      <c r="E21" s="32">
        <v>3609</v>
      </c>
      <c r="F21" s="32">
        <v>922</v>
      </c>
      <c r="G21" s="32">
        <v>2423</v>
      </c>
      <c r="H21" s="32">
        <v>890</v>
      </c>
      <c r="I21" s="32">
        <v>2961</v>
      </c>
      <c r="J21" s="32">
        <v>813</v>
      </c>
      <c r="K21" s="32">
        <v>672</v>
      </c>
      <c r="L21" s="32">
        <v>805</v>
      </c>
      <c r="M21" s="32">
        <v>951</v>
      </c>
      <c r="N21" s="32">
        <v>1164</v>
      </c>
      <c r="O21" s="32">
        <v>1226</v>
      </c>
      <c r="P21" s="32">
        <v>2041</v>
      </c>
      <c r="Q21" s="32">
        <v>2017</v>
      </c>
      <c r="R21" s="32">
        <v>1739</v>
      </c>
      <c r="S21" s="32">
        <v>1699</v>
      </c>
      <c r="T21" s="32">
        <v>1742</v>
      </c>
      <c r="U21" s="32">
        <v>1997</v>
      </c>
      <c r="V21" s="32">
        <v>2484</v>
      </c>
      <c r="W21" s="32">
        <v>1701</v>
      </c>
      <c r="X21" s="32">
        <v>5937</v>
      </c>
      <c r="Y21" s="32">
        <v>6050</v>
      </c>
      <c r="Z21" s="32">
        <v>7150</v>
      </c>
      <c r="AA21" s="32">
        <f>8402</f>
        <v>8402</v>
      </c>
      <c r="AB21" s="32">
        <f>9355</f>
        <v>9355</v>
      </c>
      <c r="AC21" s="32">
        <f>9181</f>
        <v>9181</v>
      </c>
      <c r="AD21" s="32">
        <f>9385</f>
        <v>9385</v>
      </c>
      <c r="AE21" s="125">
        <v>2826</v>
      </c>
    </row>
    <row r="22" spans="1:31" x14ac:dyDescent="0.2">
      <c r="A22" s="60" t="s">
        <v>155</v>
      </c>
      <c r="B22" s="32">
        <v>-659</v>
      </c>
      <c r="C22" s="32">
        <v>-143</v>
      </c>
      <c r="D22" s="32">
        <v>-142</v>
      </c>
      <c r="E22" s="32">
        <v>-304</v>
      </c>
      <c r="F22" s="32">
        <v>-6</v>
      </c>
      <c r="G22" s="32">
        <v>-6</v>
      </c>
      <c r="H22" s="32">
        <v>-91</v>
      </c>
      <c r="I22" s="32">
        <v>-472</v>
      </c>
      <c r="J22" s="32">
        <v>-502</v>
      </c>
      <c r="K22" s="32">
        <v>-986</v>
      </c>
      <c r="L22" s="32">
        <v>-1276</v>
      </c>
      <c r="M22" s="32">
        <v>-1416</v>
      </c>
      <c r="N22" s="32">
        <v>-1728</v>
      </c>
      <c r="O22" s="32">
        <v>-2156</v>
      </c>
      <c r="P22" s="32">
        <v>-3720</v>
      </c>
      <c r="Q22" s="32">
        <v>-2569</v>
      </c>
      <c r="R22" s="32">
        <v>-3048</v>
      </c>
      <c r="S22" s="32">
        <v>-3856</v>
      </c>
      <c r="T22" s="32">
        <v>-4175</v>
      </c>
      <c r="U22" s="32">
        <v>-4532</v>
      </c>
      <c r="V22" s="32">
        <f>-(4412+1902+21)</f>
        <v>-6335</v>
      </c>
      <c r="W22" s="32">
        <v>-7358</v>
      </c>
      <c r="X22" s="32">
        <v>-5745</v>
      </c>
      <c r="Y22" s="32">
        <f>-3922-3654-3</f>
        <v>-7579</v>
      </c>
      <c r="Z22" s="32">
        <f>-7703</f>
        <v>-7703</v>
      </c>
      <c r="AA22" s="32">
        <f>-1928-5193-2</f>
        <v>-7123</v>
      </c>
      <c r="AB22" s="32">
        <f>-2717-5778-2</f>
        <v>-8497</v>
      </c>
      <c r="AC22" s="32">
        <f>-3541-4435-10</f>
        <v>-7986</v>
      </c>
      <c r="AD22" s="95">
        <f>-5577</f>
        <v>-5577</v>
      </c>
      <c r="AE22" s="95">
        <f>-5589-1615-20</f>
        <v>-7224</v>
      </c>
    </row>
    <row r="23" spans="1:31" x14ac:dyDescent="0.2">
      <c r="A23" s="37" t="s">
        <v>156</v>
      </c>
      <c r="B23" s="75">
        <v>4971</v>
      </c>
      <c r="C23" s="75">
        <v>7473</v>
      </c>
      <c r="D23" s="75">
        <v>8200</v>
      </c>
      <c r="E23" s="75">
        <v>11058</v>
      </c>
      <c r="F23" s="75">
        <v>14387</v>
      </c>
      <c r="G23" s="75">
        <v>15078</v>
      </c>
      <c r="H23" s="75">
        <v>17746</v>
      </c>
      <c r="I23" s="75">
        <v>15074</v>
      </c>
      <c r="J23" s="75">
        <v>15926</v>
      </c>
      <c r="K23" s="75">
        <v>18234</v>
      </c>
      <c r="L23" s="75">
        <v>20340</v>
      </c>
      <c r="M23" s="75">
        <v>21409</v>
      </c>
      <c r="N23" s="75">
        <v>26468</v>
      </c>
      <c r="O23" s="75">
        <v>30184</v>
      </c>
      <c r="P23" s="75">
        <v>23728</v>
      </c>
      <c r="Q23" s="75">
        <v>20408</v>
      </c>
      <c r="R23" s="75">
        <v>25451</v>
      </c>
      <c r="S23" s="75">
        <v>25143</v>
      </c>
      <c r="T23" s="75">
        <v>24775</v>
      </c>
      <c r="U23" s="75">
        <v>28624</v>
      </c>
      <c r="V23" s="75">
        <f>SUM(V24:V28)</f>
        <v>37240</v>
      </c>
      <c r="W23" s="75">
        <v>49693</v>
      </c>
      <c r="X23" s="75">
        <f>SUM(X24:X28)</f>
        <v>61739</v>
      </c>
      <c r="Y23" s="75">
        <v>55561</v>
      </c>
      <c r="Z23" s="75">
        <f t="shared" ref="Z23:AD23" si="2">SUM(Z24:Z28)</f>
        <v>49384</v>
      </c>
      <c r="AA23" s="75">
        <f t="shared" si="2"/>
        <v>59931</v>
      </c>
      <c r="AB23" s="75">
        <f t="shared" si="2"/>
        <v>81460</v>
      </c>
      <c r="AC23" s="75">
        <f t="shared" si="2"/>
        <v>113156</v>
      </c>
      <c r="AD23" s="122">
        <f t="shared" si="2"/>
        <v>135877</v>
      </c>
      <c r="AE23" s="122">
        <f>SUM(AE24:AE28)</f>
        <v>130145</v>
      </c>
    </row>
    <row r="24" spans="1:31" x14ac:dyDescent="0.2">
      <c r="A24" s="60" t="s">
        <v>157</v>
      </c>
      <c r="B24" s="32">
        <v>2622</v>
      </c>
      <c r="C24" s="32">
        <v>3549</v>
      </c>
      <c r="D24" s="32">
        <v>3640</v>
      </c>
      <c r="E24" s="32">
        <v>5759</v>
      </c>
      <c r="F24" s="32">
        <v>7399</v>
      </c>
      <c r="G24" s="32">
        <v>5589</v>
      </c>
      <c r="H24" s="32">
        <v>6660</v>
      </c>
      <c r="I24" s="32">
        <v>6920</v>
      </c>
      <c r="J24" s="32">
        <v>7461</v>
      </c>
      <c r="K24" s="32">
        <v>8444</v>
      </c>
      <c r="L24" s="32">
        <v>9185</v>
      </c>
      <c r="M24" s="32">
        <v>10058</v>
      </c>
      <c r="N24" s="32">
        <v>12396</v>
      </c>
      <c r="O24" s="32">
        <v>10894</v>
      </c>
      <c r="P24" s="32">
        <v>9620</v>
      </c>
      <c r="Q24" s="32">
        <v>8075</v>
      </c>
      <c r="R24" s="32">
        <v>10384</v>
      </c>
      <c r="S24" s="32">
        <v>9988</v>
      </c>
      <c r="T24" s="32">
        <v>9489</v>
      </c>
      <c r="U24" s="32">
        <v>8384</v>
      </c>
      <c r="V24" s="32">
        <v>10779</v>
      </c>
      <c r="W24" s="32">
        <v>11015</v>
      </c>
      <c r="X24" s="32">
        <v>12928</v>
      </c>
      <c r="Y24" s="32">
        <v>12613</v>
      </c>
      <c r="Z24" s="32">
        <v>13002</v>
      </c>
      <c r="AA24" s="32">
        <f>11328</f>
        <v>11328</v>
      </c>
      <c r="AB24" s="32">
        <f>13358</f>
        <v>13358</v>
      </c>
      <c r="AC24" s="32">
        <f>16222</f>
        <v>16222</v>
      </c>
      <c r="AD24" s="95">
        <f>13302</f>
        <v>13302</v>
      </c>
      <c r="AE24" s="95">
        <f>13670</f>
        <v>13670</v>
      </c>
    </row>
    <row r="25" spans="1:31" x14ac:dyDescent="0.2">
      <c r="A25" s="60" t="s">
        <v>158</v>
      </c>
      <c r="B25" s="32"/>
      <c r="C25" s="32">
        <v>0</v>
      </c>
      <c r="D25" s="32"/>
      <c r="E25" s="32">
        <v>0</v>
      </c>
      <c r="F25" s="32"/>
      <c r="G25" s="32">
        <v>0</v>
      </c>
      <c r="H25" s="32"/>
      <c r="I25" s="32">
        <v>0</v>
      </c>
      <c r="J25" s="32"/>
      <c r="K25" s="32">
        <v>0</v>
      </c>
      <c r="L25" s="32"/>
      <c r="M25" s="32">
        <v>0</v>
      </c>
      <c r="N25" s="32"/>
      <c r="O25" s="32">
        <v>1187</v>
      </c>
      <c r="P25" s="32">
        <v>164</v>
      </c>
      <c r="Q25" s="32">
        <v>1244</v>
      </c>
      <c r="R25" s="32">
        <v>1577</v>
      </c>
      <c r="S25" s="32">
        <v>2463</v>
      </c>
      <c r="T25" s="32">
        <v>3976</v>
      </c>
      <c r="U25" s="32">
        <v>7138</v>
      </c>
      <c r="V25" s="32">
        <v>12375</v>
      </c>
      <c r="W25" s="32">
        <v>25332</v>
      </c>
      <c r="X25" s="32">
        <v>32772</v>
      </c>
      <c r="Y25" s="32">
        <v>28733</v>
      </c>
      <c r="Z25" s="32">
        <v>17822</v>
      </c>
      <c r="AA25" s="32">
        <v>31252</v>
      </c>
      <c r="AB25" s="32">
        <f>43023</f>
        <v>43023</v>
      </c>
      <c r="AC25" s="32">
        <f>72276</f>
        <v>72276</v>
      </c>
      <c r="AD25" s="95">
        <f>94317</f>
        <v>94317</v>
      </c>
      <c r="AE25" s="95">
        <f>94281</f>
        <v>94281</v>
      </c>
    </row>
    <row r="26" spans="1:31" x14ac:dyDescent="0.2">
      <c r="A26" s="60" t="s">
        <v>159</v>
      </c>
      <c r="B26" s="32">
        <v>1302</v>
      </c>
      <c r="C26" s="32">
        <v>2777</v>
      </c>
      <c r="D26" s="32">
        <v>2548</v>
      </c>
      <c r="E26" s="32">
        <v>2954</v>
      </c>
      <c r="F26" s="32">
        <v>2689</v>
      </c>
      <c r="G26" s="32">
        <v>3103</v>
      </c>
      <c r="H26" s="32">
        <v>3055</v>
      </c>
      <c r="I26" s="32">
        <v>5721</v>
      </c>
      <c r="J26" s="32">
        <v>5489</v>
      </c>
      <c r="K26" s="32">
        <v>6832</v>
      </c>
      <c r="L26" s="32">
        <v>8463</v>
      </c>
      <c r="M26" s="32">
        <v>7733</v>
      </c>
      <c r="N26" s="32">
        <v>9424</v>
      </c>
      <c r="O26" s="32">
        <v>14016</v>
      </c>
      <c r="P26" s="32">
        <v>9841</v>
      </c>
      <c r="Q26" s="32">
        <v>8625</v>
      </c>
      <c r="R26" s="32">
        <v>9396</v>
      </c>
      <c r="S26" s="32">
        <v>8134</v>
      </c>
      <c r="T26" s="32">
        <v>6434</v>
      </c>
      <c r="U26" s="32">
        <v>6993</v>
      </c>
      <c r="V26" s="32">
        <v>7031</v>
      </c>
      <c r="W26" s="32">
        <v>6837</v>
      </c>
      <c r="X26" s="32">
        <v>7131</v>
      </c>
      <c r="Y26" s="32">
        <v>7447</v>
      </c>
      <c r="Z26" s="32">
        <f>8282</f>
        <v>8282</v>
      </c>
      <c r="AA26" s="32">
        <f>6831</f>
        <v>6831</v>
      </c>
      <c r="AB26" s="32">
        <f>9389</f>
        <v>9389</v>
      </c>
      <c r="AC26" s="32">
        <f>9031</f>
        <v>9031</v>
      </c>
      <c r="AD26" s="95">
        <f>10703</f>
        <v>10703</v>
      </c>
      <c r="AE26" s="95">
        <f>17889</f>
        <v>17889</v>
      </c>
    </row>
    <row r="27" spans="1:31" x14ac:dyDescent="0.2">
      <c r="A27" s="60" t="s">
        <v>160</v>
      </c>
      <c r="B27" s="32">
        <v>1162</v>
      </c>
      <c r="C27" s="32">
        <v>1300</v>
      </c>
      <c r="D27" s="32">
        <v>2132</v>
      </c>
      <c r="E27" s="32">
        <v>2436</v>
      </c>
      <c r="F27" s="32">
        <v>4417</v>
      </c>
      <c r="G27" s="32">
        <v>6460</v>
      </c>
      <c r="H27" s="32">
        <v>8127</v>
      </c>
      <c r="I27" s="32">
        <v>2733</v>
      </c>
      <c r="J27" s="32">
        <v>3409</v>
      </c>
      <c r="K27" s="32">
        <v>3546</v>
      </c>
      <c r="L27" s="32">
        <v>3246</v>
      </c>
      <c r="M27" s="32">
        <v>4194</v>
      </c>
      <c r="N27" s="32">
        <v>5535</v>
      </c>
      <c r="O27" s="32">
        <v>4926</v>
      </c>
      <c r="P27" s="32">
        <v>4934</v>
      </c>
      <c r="Q27" s="32">
        <v>3980</v>
      </c>
      <c r="R27" s="32">
        <v>5785</v>
      </c>
      <c r="S27" s="32">
        <v>6238</v>
      </c>
      <c r="T27" s="32">
        <v>6621</v>
      </c>
      <c r="U27" s="32">
        <v>7921</v>
      </c>
      <c r="V27" s="32">
        <f>8149+828</f>
        <v>8977</v>
      </c>
      <c r="W27" s="32">
        <v>7999</v>
      </c>
      <c r="X27" s="32">
        <v>10813</v>
      </c>
      <c r="Y27" s="32">
        <f>11216+1607</f>
        <v>12823</v>
      </c>
      <c r="Z27" s="32">
        <f>10615+1721</f>
        <v>12336</v>
      </c>
      <c r="AA27" s="32">
        <f>10327+2325</f>
        <v>12652</v>
      </c>
      <c r="AB27" s="32">
        <f>16143+1777</f>
        <v>17920</v>
      </c>
      <c r="AC27" s="32">
        <f>16350+1422</f>
        <v>17772</v>
      </c>
      <c r="AD27" s="95">
        <f>18694+873</f>
        <v>19567</v>
      </c>
      <c r="AE27" s="95">
        <f>6869</f>
        <v>6869</v>
      </c>
    </row>
    <row r="28" spans="1:31" x14ac:dyDescent="0.2">
      <c r="A28" s="60" t="s">
        <v>161</v>
      </c>
      <c r="B28" s="32">
        <v>-115</v>
      </c>
      <c r="C28" s="32">
        <v>-153</v>
      </c>
      <c r="D28" s="32">
        <v>-120</v>
      </c>
      <c r="E28" s="32">
        <v>-91</v>
      </c>
      <c r="F28" s="32">
        <v>-118</v>
      </c>
      <c r="G28" s="32">
        <v>-74</v>
      </c>
      <c r="H28" s="32">
        <v>-96</v>
      </c>
      <c r="I28" s="32">
        <v>-300</v>
      </c>
      <c r="J28" s="32">
        <v>-433</v>
      </c>
      <c r="K28" s="32">
        <v>-588</v>
      </c>
      <c r="L28" s="32">
        <v>-554</v>
      </c>
      <c r="M28" s="32">
        <v>-576</v>
      </c>
      <c r="N28" s="32">
        <v>-887</v>
      </c>
      <c r="O28" s="32">
        <v>-839</v>
      </c>
      <c r="P28" s="32">
        <v>-831</v>
      </c>
      <c r="Q28" s="32">
        <v>-1516</v>
      </c>
      <c r="R28" s="32">
        <v>-1691</v>
      </c>
      <c r="S28" s="32">
        <v>-1680</v>
      </c>
      <c r="T28" s="32">
        <v>-1745</v>
      </c>
      <c r="U28" s="32">
        <v>-1812</v>
      </c>
      <c r="V28" s="32">
        <v>-1922</v>
      </c>
      <c r="W28" s="32">
        <v>-1490</v>
      </c>
      <c r="X28" s="32">
        <v>-1905</v>
      </c>
      <c r="Y28" s="32">
        <f>-1271-144-809</f>
        <v>-2224</v>
      </c>
      <c r="Z28" s="32">
        <f>-860-152-1046</f>
        <v>-2058</v>
      </c>
      <c r="AA28" s="92">
        <f>-909-153-1070</f>
        <v>-2132</v>
      </c>
      <c r="AB28" s="92">
        <f>-1038-145-1047</f>
        <v>-2230</v>
      </c>
      <c r="AC28" s="92">
        <f>-808-265-1072</f>
        <v>-2145</v>
      </c>
      <c r="AD28" s="123">
        <f>-880-241-891</f>
        <v>-2012</v>
      </c>
      <c r="AE28" s="123">
        <f>-1051-931-582</f>
        <v>-2564</v>
      </c>
    </row>
    <row r="29" spans="1:31" x14ac:dyDescent="0.2">
      <c r="A29" s="5" t="s">
        <v>289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92">
        <f>1347</f>
        <v>1347</v>
      </c>
      <c r="AB29" s="92"/>
      <c r="AC29" s="92">
        <f>2484</f>
        <v>2484</v>
      </c>
      <c r="AD29" s="123">
        <f>2077</f>
        <v>2077</v>
      </c>
      <c r="AE29" s="123">
        <f>2071</f>
        <v>2071</v>
      </c>
    </row>
    <row r="30" spans="1:31" x14ac:dyDescent="0.2">
      <c r="A30" s="5" t="s">
        <v>162</v>
      </c>
      <c r="B30" s="32"/>
      <c r="C30" s="32">
        <v>0</v>
      </c>
      <c r="D30" s="32"/>
      <c r="E30" s="32">
        <v>0</v>
      </c>
      <c r="F30" s="32"/>
      <c r="G30" s="32">
        <v>0</v>
      </c>
      <c r="H30" s="32"/>
      <c r="I30" s="32">
        <v>0</v>
      </c>
      <c r="J30" s="32"/>
      <c r="K30" s="32">
        <v>0</v>
      </c>
      <c r="L30" s="32"/>
      <c r="M30" s="32">
        <v>0</v>
      </c>
      <c r="N30" s="32"/>
      <c r="O30" s="32">
        <v>0</v>
      </c>
      <c r="P30" s="32"/>
      <c r="Q30" s="32">
        <v>324</v>
      </c>
      <c r="R30" s="32">
        <v>706</v>
      </c>
      <c r="S30" s="32">
        <v>752</v>
      </c>
      <c r="T30" s="32">
        <v>755</v>
      </c>
      <c r="U30" s="32">
        <v>840</v>
      </c>
      <c r="V30" s="32">
        <v>897</v>
      </c>
      <c r="W30" s="32">
        <v>892</v>
      </c>
      <c r="X30" s="32">
        <v>1176</v>
      </c>
      <c r="Y30" s="32">
        <v>1197</v>
      </c>
      <c r="Z30" s="32">
        <v>1184</v>
      </c>
      <c r="AA30" s="32">
        <v>1662</v>
      </c>
      <c r="AB30" s="32">
        <f>2845</f>
        <v>2845</v>
      </c>
      <c r="AC30" s="32">
        <f>3022</f>
        <v>3022</v>
      </c>
      <c r="AD30" s="95">
        <f>2908</f>
        <v>2908</v>
      </c>
      <c r="AE30" s="95">
        <f>3163</f>
        <v>3163</v>
      </c>
    </row>
    <row r="31" spans="1:31" x14ac:dyDescent="0.2">
      <c r="A31" s="5" t="s">
        <v>163</v>
      </c>
      <c r="B31" s="32">
        <v>779</v>
      </c>
      <c r="C31" s="32">
        <v>1327</v>
      </c>
      <c r="D31" s="32">
        <v>3032</v>
      </c>
      <c r="E31" s="32">
        <v>6870</v>
      </c>
      <c r="F31" s="32">
        <v>3824</v>
      </c>
      <c r="G31" s="32">
        <v>5008</v>
      </c>
      <c r="H31" s="32">
        <v>5493</v>
      </c>
      <c r="I31" s="32">
        <v>1221</v>
      </c>
      <c r="J31" s="32">
        <v>2122</v>
      </c>
      <c r="K31" s="32">
        <v>733</v>
      </c>
      <c r="L31" s="32">
        <v>830</v>
      </c>
      <c r="M31" s="32">
        <v>793</v>
      </c>
      <c r="N31" s="32">
        <v>754</v>
      </c>
      <c r="O31" s="32">
        <v>185</v>
      </c>
      <c r="P31" s="32">
        <v>201</v>
      </c>
      <c r="Q31" s="32">
        <v>203</v>
      </c>
      <c r="R31" s="32">
        <v>879</v>
      </c>
      <c r="S31" s="32">
        <v>203</v>
      </c>
      <c r="T31" s="32">
        <v>304</v>
      </c>
      <c r="U31" s="32">
        <v>212</v>
      </c>
      <c r="V31" s="32">
        <v>92</v>
      </c>
      <c r="W31" s="32">
        <v>126</v>
      </c>
      <c r="X31" s="32">
        <v>53</v>
      </c>
      <c r="Y31" s="32">
        <v>22</v>
      </c>
      <c r="Z31" s="32">
        <v>20</v>
      </c>
      <c r="AA31" s="32">
        <v>37</v>
      </c>
      <c r="AB31" s="32">
        <f>28</f>
        <v>28</v>
      </c>
      <c r="AC31" s="32">
        <f>27</f>
        <v>27</v>
      </c>
      <c r="AD31" s="95">
        <f>173</f>
        <v>173</v>
      </c>
      <c r="AE31" s="95">
        <f>443</f>
        <v>443</v>
      </c>
    </row>
    <row r="32" spans="1:31" x14ac:dyDescent="0.2">
      <c r="A32" s="5" t="s">
        <v>164</v>
      </c>
      <c r="B32" s="32">
        <v>16146</v>
      </c>
      <c r="C32" s="32">
        <v>14484</v>
      </c>
      <c r="D32" s="32">
        <v>13276</v>
      </c>
      <c r="E32" s="32">
        <v>10716</v>
      </c>
      <c r="F32" s="32">
        <v>8559</v>
      </c>
      <c r="G32" s="32">
        <v>8139</v>
      </c>
      <c r="H32" s="32">
        <v>9635</v>
      </c>
      <c r="I32" s="32">
        <v>14631</v>
      </c>
      <c r="J32" s="32">
        <v>10042</v>
      </c>
      <c r="K32" s="32">
        <v>11532</v>
      </c>
      <c r="L32" s="32">
        <v>15770</v>
      </c>
      <c r="M32" s="32">
        <v>10206</v>
      </c>
      <c r="N32" s="32">
        <v>9392</v>
      </c>
      <c r="O32" s="32">
        <v>14125</v>
      </c>
      <c r="P32" s="32">
        <v>18865</v>
      </c>
      <c r="Q32" s="32">
        <v>23066</v>
      </c>
      <c r="R32" s="32">
        <v>35797</v>
      </c>
      <c r="S32" s="32">
        <v>31128</v>
      </c>
      <c r="T32" s="32">
        <v>24678</v>
      </c>
      <c r="U32" s="32">
        <v>25830</v>
      </c>
      <c r="V32" s="32">
        <v>39980</v>
      </c>
      <c r="W32" s="32">
        <v>44587</v>
      </c>
      <c r="X32" s="32">
        <v>39194</v>
      </c>
      <c r="Y32" s="32">
        <v>23811</v>
      </c>
      <c r="Z32" s="32">
        <v>25687</v>
      </c>
      <c r="AA32" s="32">
        <v>9724</v>
      </c>
      <c r="AB32" s="32">
        <f>6999</f>
        <v>6999</v>
      </c>
      <c r="AC32" s="32">
        <f>4320</f>
        <v>4320</v>
      </c>
      <c r="AD32" s="95">
        <f>5644</f>
        <v>5644</v>
      </c>
      <c r="AE32" s="95">
        <f>4889</f>
        <v>4889</v>
      </c>
    </row>
    <row r="33" spans="1:31" x14ac:dyDescent="0.2">
      <c r="A33" s="5" t="s">
        <v>165</v>
      </c>
      <c r="B33" s="32">
        <v>30</v>
      </c>
      <c r="C33" s="32">
        <v>34</v>
      </c>
      <c r="D33" s="32">
        <v>13</v>
      </c>
      <c r="E33" s="32">
        <v>32</v>
      </c>
      <c r="F33" s="32">
        <v>20</v>
      </c>
      <c r="G33" s="32">
        <v>7</v>
      </c>
      <c r="H33" s="32">
        <v>18</v>
      </c>
      <c r="I33" s="32">
        <v>66</v>
      </c>
      <c r="J33" s="32">
        <v>66</v>
      </c>
      <c r="K33" s="32">
        <v>0</v>
      </c>
      <c r="L33" s="32">
        <v>7</v>
      </c>
      <c r="M33" s="32">
        <v>0</v>
      </c>
      <c r="N33" s="32"/>
      <c r="O33" s="32">
        <v>0</v>
      </c>
      <c r="P33" s="32"/>
      <c r="Q33" s="32">
        <v>0</v>
      </c>
      <c r="R33" s="32"/>
      <c r="S33" s="32">
        <v>0</v>
      </c>
      <c r="T33" s="32"/>
      <c r="U33" s="32">
        <v>0</v>
      </c>
      <c r="W33" s="32">
        <v>0</v>
      </c>
      <c r="X33" s="32">
        <v>0</v>
      </c>
      <c r="Y33" s="32"/>
      <c r="Z33" s="32"/>
      <c r="AA33" s="32"/>
      <c r="AB33" s="32"/>
      <c r="AC33" s="32"/>
      <c r="AD33" s="95"/>
      <c r="AE33" s="95">
        <v>1083</v>
      </c>
    </row>
    <row r="34" spans="1:31" x14ac:dyDescent="0.2">
      <c r="A34" s="34" t="s">
        <v>166</v>
      </c>
      <c r="B34" s="75">
        <v>49793</v>
      </c>
      <c r="C34" s="75">
        <v>55365</v>
      </c>
      <c r="D34" s="75">
        <v>59134</v>
      </c>
      <c r="E34" s="75">
        <v>70198</v>
      </c>
      <c r="F34" s="75">
        <v>70846</v>
      </c>
      <c r="G34" s="75">
        <v>78289</v>
      </c>
      <c r="H34" s="75">
        <v>90024</v>
      </c>
      <c r="I34" s="75">
        <v>88517</v>
      </c>
      <c r="J34" s="75">
        <v>89287</v>
      </c>
      <c r="K34" s="75">
        <v>98221</v>
      </c>
      <c r="L34" s="75">
        <v>106184</v>
      </c>
      <c r="M34" s="75">
        <v>103669</v>
      </c>
      <c r="N34" s="75">
        <v>114538</v>
      </c>
      <c r="O34" s="75">
        <v>122616</v>
      </c>
      <c r="P34" s="75">
        <v>124657</v>
      </c>
      <c r="Q34" s="75">
        <v>111695</v>
      </c>
      <c r="R34" s="75">
        <v>169412</v>
      </c>
      <c r="S34" s="75">
        <v>157915</v>
      </c>
      <c r="T34" s="75">
        <v>147869</v>
      </c>
      <c r="U34" s="75">
        <v>170951</v>
      </c>
      <c r="V34" s="75">
        <v>188698</v>
      </c>
      <c r="W34" s="75">
        <v>205451</v>
      </c>
      <c r="X34" s="75">
        <v>236269</v>
      </c>
      <c r="Y34" s="75">
        <v>226941</v>
      </c>
      <c r="Z34" s="75">
        <v>230150</v>
      </c>
      <c r="AA34" s="75">
        <v>224736</v>
      </c>
      <c r="AB34" s="75">
        <f>233471</f>
        <v>233471</v>
      </c>
      <c r="AC34" s="75">
        <f>SUM(AC18,AC23,AC29:AC32)</f>
        <v>294458</v>
      </c>
      <c r="AD34" s="122">
        <f>SUM(AD18,AD23,AD29:AD32)</f>
        <v>298986</v>
      </c>
      <c r="AE34" s="122">
        <f>SUM(AE18,AE23,AE29:AE33)</f>
        <v>322696</v>
      </c>
    </row>
    <row r="35" spans="1:31" x14ac:dyDescent="0.2">
      <c r="A35" s="5" t="s">
        <v>167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>
        <v>402</v>
      </c>
      <c r="U35" s="32"/>
      <c r="Y35" s="32"/>
      <c r="Z35" s="32"/>
      <c r="AA35" s="32"/>
      <c r="AB35" s="32"/>
      <c r="AC35" s="32"/>
      <c r="AD35" s="95"/>
      <c r="AE35" s="95"/>
    </row>
    <row r="36" spans="1:31" x14ac:dyDescent="0.2">
      <c r="A36" s="42" t="s">
        <v>168</v>
      </c>
      <c r="B36" s="76">
        <v>52851</v>
      </c>
      <c r="C36" s="76">
        <v>58784</v>
      </c>
      <c r="D36" s="76">
        <v>62352</v>
      </c>
      <c r="E36" s="76">
        <v>73516</v>
      </c>
      <c r="F36" s="76">
        <v>74411</v>
      </c>
      <c r="G36" s="76">
        <v>83570</v>
      </c>
      <c r="H36" s="76">
        <v>95562</v>
      </c>
      <c r="I36" s="76">
        <v>96280</v>
      </c>
      <c r="J36" s="76">
        <v>96152</v>
      </c>
      <c r="K36" s="76">
        <v>106283</v>
      </c>
      <c r="L36" s="76">
        <v>114870</v>
      </c>
      <c r="M36" s="76">
        <v>114141</v>
      </c>
      <c r="N36" s="76">
        <v>125699</v>
      </c>
      <c r="O36" s="76">
        <v>134813</v>
      </c>
      <c r="P36" s="76">
        <v>138127</v>
      </c>
      <c r="Q36" s="76">
        <v>124537</v>
      </c>
      <c r="R36" s="76">
        <v>183817</v>
      </c>
      <c r="S36" s="76">
        <v>171344</v>
      </c>
      <c r="T36" s="76">
        <v>162289</v>
      </c>
      <c r="U36" s="76">
        <v>186519</v>
      </c>
      <c r="V36" s="59">
        <v>204237</v>
      </c>
      <c r="W36" s="59">
        <v>222098</v>
      </c>
      <c r="X36" s="59">
        <v>254552</v>
      </c>
      <c r="Y36" s="59">
        <v>248045</v>
      </c>
      <c r="Z36" s="59">
        <v>251350</v>
      </c>
      <c r="AA36" s="59">
        <v>260391</v>
      </c>
      <c r="AB36" s="59">
        <f>274393</f>
        <v>274393</v>
      </c>
      <c r="AC36" s="59">
        <f>SUM(AC15,AC34)</f>
        <v>336414</v>
      </c>
      <c r="AD36" s="124">
        <f>SUM(AD15,AD34)</f>
        <v>348169</v>
      </c>
      <c r="AE36" s="124">
        <f>SUM(AE15,AE34)</f>
        <v>380197</v>
      </c>
    </row>
    <row r="37" spans="1:31" x14ac:dyDescent="0.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W37" s="82"/>
      <c r="X37" s="82"/>
      <c r="Y37" s="82"/>
      <c r="Z37" s="82"/>
      <c r="AA37" s="82"/>
      <c r="AB37" s="82"/>
      <c r="AC37" s="82"/>
      <c r="AD37" s="82"/>
      <c r="AE37" s="82"/>
    </row>
    <row r="38" spans="1:31" x14ac:dyDescent="0.2">
      <c r="A38" s="43" t="s">
        <v>169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  <c r="AB38" s="5"/>
      <c r="AC38" s="5"/>
      <c r="AD38" s="5"/>
      <c r="AE38" s="5"/>
    </row>
    <row r="39" spans="1:31" x14ac:dyDescent="0.2">
      <c r="A39" s="41" t="s">
        <v>170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AB39" s="5"/>
      <c r="AC39" s="5"/>
      <c r="AD39" s="5"/>
      <c r="AE39" s="5"/>
    </row>
    <row r="40" spans="1:31" x14ac:dyDescent="0.2">
      <c r="A40" s="5" t="s">
        <v>171</v>
      </c>
      <c r="B40" s="32">
        <v>15439</v>
      </c>
      <c r="C40" s="32">
        <v>14980</v>
      </c>
      <c r="D40" s="32">
        <v>14967</v>
      </c>
      <c r="E40" s="32">
        <v>14967</v>
      </c>
      <c r="F40" s="32">
        <v>14967</v>
      </c>
      <c r="G40" s="32">
        <v>14967</v>
      </c>
      <c r="H40" s="32">
        <v>14983</v>
      </c>
      <c r="I40" s="32">
        <v>14983</v>
      </c>
      <c r="J40" s="32">
        <v>14983</v>
      </c>
      <c r="K40" s="32">
        <v>14999</v>
      </c>
      <c r="L40" s="32">
        <v>14999</v>
      </c>
      <c r="M40" s="32">
        <v>15070</v>
      </c>
      <c r="N40" s="32">
        <v>14603</v>
      </c>
      <c r="O40" s="32">
        <v>14103</v>
      </c>
      <c r="P40" s="32">
        <v>15487</v>
      </c>
      <c r="Q40" s="32">
        <v>15487</v>
      </c>
      <c r="R40" s="32">
        <v>15487</v>
      </c>
      <c r="S40" s="32">
        <v>15487</v>
      </c>
      <c r="T40" s="32">
        <v>15487</v>
      </c>
      <c r="U40" s="32">
        <v>15487</v>
      </c>
      <c r="V40" s="32">
        <v>26490</v>
      </c>
      <c r="W40" s="32">
        <f t="shared" ref="W40:AE40" si="3">SUM(W41:W43)</f>
        <v>26368</v>
      </c>
      <c r="X40" s="32">
        <f t="shared" si="3"/>
        <v>26368</v>
      </c>
      <c r="Y40" s="32">
        <f t="shared" si="3"/>
        <v>26368</v>
      </c>
      <c r="Z40" s="32">
        <f t="shared" si="3"/>
        <v>26368</v>
      </c>
      <c r="AA40" s="32">
        <f t="shared" si="3"/>
        <v>26368</v>
      </c>
      <c r="AB40" s="32">
        <f t="shared" si="3"/>
        <v>26368</v>
      </c>
      <c r="AC40" s="32">
        <f t="shared" si="3"/>
        <v>26368</v>
      </c>
      <c r="AD40" s="32">
        <f t="shared" si="3"/>
        <v>26368</v>
      </c>
      <c r="AE40" s="32">
        <f t="shared" si="3"/>
        <v>26368</v>
      </c>
    </row>
    <row r="41" spans="1:31" x14ac:dyDescent="0.2">
      <c r="A41" s="5" t="s">
        <v>172</v>
      </c>
      <c r="B41" s="32">
        <v>1</v>
      </c>
      <c r="C41" s="32">
        <v>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/>
      <c r="M41" s="32">
        <v>1</v>
      </c>
      <c r="N41" s="32">
        <v>2</v>
      </c>
      <c r="O41" s="32">
        <v>2</v>
      </c>
      <c r="P41" s="32">
        <v>2</v>
      </c>
      <c r="Q41" s="32">
        <v>2</v>
      </c>
      <c r="R41" s="32">
        <v>2</v>
      </c>
      <c r="S41" s="32">
        <v>2</v>
      </c>
      <c r="T41" s="32">
        <v>2</v>
      </c>
      <c r="U41" s="32">
        <v>2</v>
      </c>
      <c r="V41" s="32">
        <v>2</v>
      </c>
      <c r="W41" s="32">
        <v>2</v>
      </c>
      <c r="X41" s="32">
        <v>2</v>
      </c>
      <c r="Y41" s="32">
        <v>2</v>
      </c>
      <c r="Z41" s="32">
        <v>2</v>
      </c>
      <c r="AA41" s="32">
        <v>2</v>
      </c>
      <c r="AB41" s="32">
        <f>2</f>
        <v>2</v>
      </c>
      <c r="AC41" s="32">
        <v>2</v>
      </c>
      <c r="AD41" s="32">
        <f>2</f>
        <v>2</v>
      </c>
      <c r="AE41" s="32">
        <f>2</f>
        <v>2</v>
      </c>
    </row>
    <row r="42" spans="1:31" x14ac:dyDescent="0.2">
      <c r="A42" s="5" t="s">
        <v>173</v>
      </c>
      <c r="B42" s="32">
        <v>15438</v>
      </c>
      <c r="C42" s="32">
        <v>15438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/>
      <c r="M42" s="32">
        <v>15509</v>
      </c>
      <c r="N42" s="32">
        <v>15509</v>
      </c>
      <c r="O42" s="32">
        <v>15486</v>
      </c>
      <c r="P42" s="32">
        <v>15486</v>
      </c>
      <c r="Q42" s="32">
        <v>15486</v>
      </c>
      <c r="R42" s="32">
        <v>15486</v>
      </c>
      <c r="S42" s="32">
        <v>15486</v>
      </c>
      <c r="T42" s="32">
        <v>15486</v>
      </c>
      <c r="U42" s="32">
        <v>15486</v>
      </c>
      <c r="V42" s="32">
        <v>26489</v>
      </c>
      <c r="W42" s="32">
        <v>26367</v>
      </c>
      <c r="X42" s="32">
        <v>26367</v>
      </c>
      <c r="Y42" s="32">
        <v>26367</v>
      </c>
      <c r="Z42" s="32">
        <v>26367</v>
      </c>
      <c r="AA42" s="32">
        <v>26367</v>
      </c>
      <c r="AB42" s="32">
        <f>26367</f>
        <v>26367</v>
      </c>
      <c r="AC42" s="32">
        <v>26367</v>
      </c>
      <c r="AD42" s="32">
        <f>26367</f>
        <v>26367</v>
      </c>
      <c r="AE42" s="32">
        <f>26367</f>
        <v>26367</v>
      </c>
    </row>
    <row r="43" spans="1:31" x14ac:dyDescent="0.2">
      <c r="A43" s="5" t="s">
        <v>174</v>
      </c>
      <c r="B43" s="32"/>
      <c r="C43" s="32">
        <v>-459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/>
      <c r="M43" s="32">
        <v>-440</v>
      </c>
      <c r="N43" s="32">
        <v>-908</v>
      </c>
      <c r="O43" s="32">
        <v>-1606</v>
      </c>
      <c r="P43" s="32">
        <v>-1</v>
      </c>
      <c r="Q43" s="32">
        <v>-1</v>
      </c>
      <c r="R43" s="32">
        <v>-1</v>
      </c>
      <c r="S43" s="32">
        <v>-1</v>
      </c>
      <c r="T43" s="32">
        <v>-1</v>
      </c>
      <c r="U43" s="32">
        <v>-1</v>
      </c>
      <c r="V43" s="32">
        <v>-1</v>
      </c>
      <c r="W43" s="32">
        <v>-1</v>
      </c>
      <c r="X43" s="32">
        <v>-1</v>
      </c>
      <c r="Y43" s="32">
        <v>-1</v>
      </c>
      <c r="Z43" s="32">
        <v>-1</v>
      </c>
      <c r="AA43" s="32">
        <v>-1</v>
      </c>
      <c r="AB43" s="32">
        <v>-1</v>
      </c>
      <c r="AC43" s="32">
        <v>-1</v>
      </c>
      <c r="AD43" s="32">
        <f>-1</f>
        <v>-1</v>
      </c>
      <c r="AE43" s="32">
        <f>-1</f>
        <v>-1</v>
      </c>
    </row>
    <row r="44" spans="1:31" x14ac:dyDescent="0.2">
      <c r="A44" s="5" t="s">
        <v>279</v>
      </c>
      <c r="B44" s="32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/>
      <c r="M44" s="32">
        <v>0</v>
      </c>
      <c r="N44" s="32"/>
      <c r="O44" s="32">
        <v>221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f>0</f>
        <v>0</v>
      </c>
      <c r="AC44" s="100">
        <f>0</f>
        <v>0</v>
      </c>
      <c r="AD44" s="100">
        <f>0</f>
        <v>0</v>
      </c>
      <c r="AE44" s="100">
        <f>0</f>
        <v>0</v>
      </c>
    </row>
    <row r="45" spans="1:31" x14ac:dyDescent="0.2">
      <c r="A45" s="5" t="s">
        <v>175</v>
      </c>
      <c r="B45" s="32">
        <v>12880</v>
      </c>
      <c r="C45" s="32">
        <v>17704</v>
      </c>
      <c r="D45" s="32">
        <v>20009</v>
      </c>
      <c r="E45" s="32">
        <v>22688</v>
      </c>
      <c r="F45" s="32">
        <v>25771</v>
      </c>
      <c r="G45" s="32">
        <v>29332</v>
      </c>
      <c r="H45" s="32">
        <v>30259</v>
      </c>
      <c r="I45" s="32">
        <v>36537</v>
      </c>
      <c r="J45" s="32">
        <v>37011</v>
      </c>
      <c r="K45" s="32">
        <v>39697</v>
      </c>
      <c r="L45" s="32">
        <v>40068</v>
      </c>
      <c r="M45" s="32">
        <v>43052</v>
      </c>
      <c r="N45" s="32">
        <v>44263</v>
      </c>
      <c r="O45" s="32">
        <v>48702</v>
      </c>
      <c r="P45" s="32">
        <v>43428</v>
      </c>
      <c r="Q45" s="32">
        <v>39802</v>
      </c>
      <c r="R45" s="32">
        <v>41848</v>
      </c>
      <c r="S45" s="32">
        <v>37089</v>
      </c>
      <c r="T45" s="32">
        <v>35317</v>
      </c>
      <c r="U45" s="32">
        <v>35586</v>
      </c>
      <c r="V45" s="32">
        <v>36881</v>
      </c>
      <c r="W45" s="32">
        <v>34992</v>
      </c>
      <c r="X45" s="32">
        <v>46655</v>
      </c>
      <c r="Y45" s="32">
        <v>47821</v>
      </c>
      <c r="Z45" s="32">
        <v>45779</v>
      </c>
      <c r="AA45" s="32">
        <v>44523</v>
      </c>
      <c r="AB45" s="32">
        <f>43026</f>
        <v>43026</v>
      </c>
      <c r="AC45" s="32">
        <f>37609</f>
        <v>37609</v>
      </c>
      <c r="AD45" s="32">
        <f>28669</f>
        <v>28669</v>
      </c>
      <c r="AE45" s="32">
        <v>2177</v>
      </c>
    </row>
    <row r="46" spans="1:31" x14ac:dyDescent="0.2">
      <c r="A46" s="5" t="s">
        <v>176</v>
      </c>
      <c r="B46" s="32">
        <v>28319</v>
      </c>
      <c r="C46" s="32">
        <v>32684</v>
      </c>
      <c r="D46" s="32">
        <v>34976</v>
      </c>
      <c r="E46" s="32">
        <v>37655</v>
      </c>
      <c r="F46" s="32">
        <v>40738</v>
      </c>
      <c r="G46" s="32">
        <v>44299</v>
      </c>
      <c r="H46" s="32">
        <v>45242</v>
      </c>
      <c r="I46" s="32">
        <v>51520</v>
      </c>
      <c r="J46" s="32">
        <v>51994</v>
      </c>
      <c r="K46" s="32">
        <v>54696</v>
      </c>
      <c r="L46" s="32">
        <v>55067</v>
      </c>
      <c r="M46" s="32">
        <v>58122</v>
      </c>
      <c r="N46" s="32">
        <v>58866</v>
      </c>
      <c r="O46" s="32">
        <v>62805</v>
      </c>
      <c r="P46" s="32">
        <v>58915</v>
      </c>
      <c r="Q46" s="32">
        <v>55289</v>
      </c>
      <c r="R46" s="32">
        <v>57335</v>
      </c>
      <c r="S46" s="32">
        <v>52576</v>
      </c>
      <c r="T46" s="32">
        <v>50804</v>
      </c>
      <c r="U46" s="32">
        <v>51073</v>
      </c>
      <c r="V46" s="32">
        <v>63371</v>
      </c>
      <c r="W46" s="32">
        <v>61360</v>
      </c>
      <c r="X46" s="32">
        <v>73023</v>
      </c>
      <c r="Y46" s="32">
        <v>74189</v>
      </c>
      <c r="Z46" s="32">
        <v>72147</v>
      </c>
      <c r="AA46" s="32">
        <v>70891</v>
      </c>
      <c r="AB46" s="32">
        <f>69394</f>
        <v>69394</v>
      </c>
      <c r="AC46" s="32">
        <f>63977</f>
        <v>63977</v>
      </c>
      <c r="AD46" s="32">
        <f>55037</f>
        <v>55037</v>
      </c>
      <c r="AE46" s="32">
        <v>28545</v>
      </c>
    </row>
    <row r="47" spans="1:31" x14ac:dyDescent="0.2">
      <c r="A47" s="5" t="s">
        <v>136</v>
      </c>
      <c r="B47" s="32">
        <v>487</v>
      </c>
      <c r="C47" s="32">
        <v>372</v>
      </c>
      <c r="D47" s="32">
        <v>436</v>
      </c>
      <c r="E47" s="32">
        <v>408</v>
      </c>
      <c r="F47" s="32">
        <v>394</v>
      </c>
      <c r="G47" s="32">
        <v>387</v>
      </c>
      <c r="H47" s="32">
        <v>387</v>
      </c>
      <c r="I47" s="32">
        <v>351</v>
      </c>
      <c r="J47" s="32">
        <v>170</v>
      </c>
      <c r="K47" s="32">
        <v>147</v>
      </c>
      <c r="L47" s="32">
        <v>83</v>
      </c>
      <c r="M47" s="32">
        <v>28</v>
      </c>
      <c r="N47" s="32">
        <v>0</v>
      </c>
      <c r="O47" s="32">
        <v>0</v>
      </c>
      <c r="P47" s="32">
        <v>1</v>
      </c>
      <c r="Q47" s="32">
        <v>2</v>
      </c>
      <c r="R47" s="32">
        <v>15079</v>
      </c>
      <c r="S47" s="32">
        <v>0</v>
      </c>
      <c r="T47" s="32">
        <v>1</v>
      </c>
      <c r="U47" s="32">
        <v>0</v>
      </c>
      <c r="V47" s="32">
        <v>0</v>
      </c>
      <c r="W47" s="32">
        <v>0</v>
      </c>
      <c r="X47" s="32">
        <v>204</v>
      </c>
      <c r="Y47" s="32"/>
      <c r="Z47" s="32"/>
      <c r="AA47" s="32">
        <f>0</f>
        <v>0</v>
      </c>
      <c r="AB47" s="32">
        <f>808</f>
        <v>808</v>
      </c>
      <c r="AC47" s="32">
        <f>808</f>
        <v>808</v>
      </c>
      <c r="AD47" s="32">
        <f>808</f>
        <v>808</v>
      </c>
      <c r="AE47" s="32">
        <f>893</f>
        <v>893</v>
      </c>
    </row>
    <row r="48" spans="1:31" x14ac:dyDescent="0.2">
      <c r="A48" s="34" t="s">
        <v>177</v>
      </c>
      <c r="B48" s="75">
        <v>28806</v>
      </c>
      <c r="C48" s="75">
        <v>33056</v>
      </c>
      <c r="D48" s="75">
        <v>35412</v>
      </c>
      <c r="E48" s="75">
        <v>38063</v>
      </c>
      <c r="F48" s="75">
        <v>41132</v>
      </c>
      <c r="G48" s="75">
        <v>44686</v>
      </c>
      <c r="H48" s="75">
        <v>45629</v>
      </c>
      <c r="I48" s="75">
        <v>51871</v>
      </c>
      <c r="J48" s="75">
        <v>52164</v>
      </c>
      <c r="K48" s="75">
        <v>54843</v>
      </c>
      <c r="L48" s="75">
        <v>55150</v>
      </c>
      <c r="M48" s="75">
        <v>58150</v>
      </c>
      <c r="N48" s="75">
        <v>58866</v>
      </c>
      <c r="O48" s="75">
        <v>62805</v>
      </c>
      <c r="P48" s="75">
        <v>58916</v>
      </c>
      <c r="Q48" s="75">
        <v>55291</v>
      </c>
      <c r="R48" s="75">
        <v>72414</v>
      </c>
      <c r="S48" s="75">
        <v>52576</v>
      </c>
      <c r="T48" s="75">
        <v>50805</v>
      </c>
      <c r="U48" s="75">
        <v>51073</v>
      </c>
      <c r="V48" s="75">
        <v>63371</v>
      </c>
      <c r="W48" s="75">
        <v>61360</v>
      </c>
      <c r="X48" s="75">
        <v>73227</v>
      </c>
      <c r="Y48" s="75">
        <v>74189</v>
      </c>
      <c r="Z48" s="75">
        <v>72147</v>
      </c>
      <c r="AA48" s="75">
        <v>70891</v>
      </c>
      <c r="AB48" s="75">
        <f>70202</f>
        <v>70202</v>
      </c>
      <c r="AC48" s="75">
        <f>SUM(AC46:AC47)</f>
        <v>64785</v>
      </c>
      <c r="AD48" s="75">
        <f>SUM(AD46:AD47)</f>
        <v>55845</v>
      </c>
      <c r="AE48" s="75">
        <f>SUM(AE46:AE47)</f>
        <v>29438</v>
      </c>
    </row>
    <row r="49" spans="1:31" x14ac:dyDescent="0.2">
      <c r="A49" s="3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AB49" s="5"/>
      <c r="AC49" s="5"/>
      <c r="AD49" s="5"/>
      <c r="AE49" s="5"/>
    </row>
    <row r="50" spans="1:31" x14ac:dyDescent="0.2">
      <c r="A50" s="41" t="s">
        <v>178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AB50" s="5"/>
      <c r="AC50" s="5"/>
      <c r="AD50" s="5"/>
      <c r="AE50" s="5"/>
    </row>
    <row r="51" spans="1:31" x14ac:dyDescent="0.2">
      <c r="A51" s="5" t="s">
        <v>179</v>
      </c>
      <c r="B51" s="32">
        <v>7658</v>
      </c>
      <c r="C51" s="32">
        <v>8456</v>
      </c>
      <c r="D51" s="32">
        <v>7466</v>
      </c>
      <c r="E51" s="32">
        <v>12811</v>
      </c>
      <c r="F51" s="32">
        <v>10750</v>
      </c>
      <c r="G51" s="32">
        <v>10176</v>
      </c>
      <c r="H51" s="32">
        <v>10050</v>
      </c>
      <c r="I51" s="32">
        <v>12411</v>
      </c>
      <c r="J51" s="32">
        <v>13375</v>
      </c>
      <c r="K51" s="32">
        <v>13138</v>
      </c>
      <c r="L51" s="32">
        <v>12950</v>
      </c>
      <c r="M51" s="32">
        <v>12415</v>
      </c>
      <c r="N51" s="32">
        <v>14973</v>
      </c>
      <c r="O51" s="32">
        <v>21418</v>
      </c>
      <c r="P51" s="32">
        <v>20673</v>
      </c>
      <c r="Q51" s="32">
        <v>17559</v>
      </c>
      <c r="R51" s="32">
        <v>33422</v>
      </c>
      <c r="S51" s="32">
        <v>42258</v>
      </c>
      <c r="T51" s="32">
        <v>33623</v>
      </c>
      <c r="U51" s="32">
        <v>34636</v>
      </c>
      <c r="V51" s="32">
        <v>50322</v>
      </c>
      <c r="W51" s="32">
        <v>67132</v>
      </c>
      <c r="X51" s="32">
        <v>75626</v>
      </c>
      <c r="Y51" s="32">
        <v>73970</v>
      </c>
      <c r="Z51" s="32">
        <v>81818</v>
      </c>
      <c r="AA51" s="32">
        <v>82112</v>
      </c>
      <c r="AB51" s="32">
        <f>122062</f>
        <v>122062</v>
      </c>
      <c r="AC51" s="32">
        <f>131773</f>
        <v>131773</v>
      </c>
      <c r="AD51" s="32">
        <f>147056</f>
        <v>147056</v>
      </c>
      <c r="AE51" s="32">
        <f>136898</f>
        <v>136898</v>
      </c>
    </row>
    <row r="52" spans="1:31" x14ac:dyDescent="0.2">
      <c r="A52" s="5" t="s">
        <v>180</v>
      </c>
      <c r="B52" s="32">
        <v>129</v>
      </c>
      <c r="C52" s="32">
        <v>48</v>
      </c>
      <c r="D52" s="32">
        <v>30</v>
      </c>
      <c r="E52" s="32">
        <v>980</v>
      </c>
      <c r="F52" s="32">
        <v>1041</v>
      </c>
      <c r="G52" s="32">
        <v>785</v>
      </c>
      <c r="H52" s="32">
        <v>678</v>
      </c>
      <c r="I52" s="32">
        <v>2854</v>
      </c>
      <c r="J52" s="32">
        <v>4024</v>
      </c>
      <c r="K52" s="32">
        <v>923</v>
      </c>
      <c r="L52" s="32">
        <v>610</v>
      </c>
      <c r="M52" s="32">
        <v>859</v>
      </c>
      <c r="N52" s="32">
        <v>3270</v>
      </c>
      <c r="O52" s="32">
        <v>2546</v>
      </c>
      <c r="P52" s="32">
        <v>2154</v>
      </c>
      <c r="Q52" s="32">
        <v>1995</v>
      </c>
      <c r="R52" s="32">
        <v>2868</v>
      </c>
      <c r="S52" s="32">
        <v>3227</v>
      </c>
      <c r="T52" s="32">
        <v>1411</v>
      </c>
      <c r="U52" s="32">
        <v>26734</v>
      </c>
      <c r="V52" s="32">
        <v>28044</v>
      </c>
      <c r="W52" s="32">
        <v>31230</v>
      </c>
      <c r="X52" s="32">
        <v>23733</v>
      </c>
      <c r="Y52" s="32">
        <v>22978</v>
      </c>
      <c r="Z52" s="32">
        <v>9770</v>
      </c>
      <c r="AA52" s="32">
        <f>7745</f>
        <v>7745</v>
      </c>
      <c r="AB52" s="32">
        <f>6573</f>
        <v>6573</v>
      </c>
      <c r="AC52" s="32">
        <f>SUM(AC53:AC54)</f>
        <v>11611</v>
      </c>
      <c r="AD52" s="32">
        <f>SUM(AD53:AD54)</f>
        <v>5807</v>
      </c>
      <c r="AE52" s="32">
        <v>7129</v>
      </c>
    </row>
    <row r="53" spans="1:31" x14ac:dyDescent="0.2">
      <c r="A53" s="99" t="s">
        <v>181</v>
      </c>
      <c r="B53" s="32">
        <v>129</v>
      </c>
      <c r="C53" s="32">
        <v>48</v>
      </c>
      <c r="D53" s="32">
        <v>30</v>
      </c>
      <c r="E53" s="32">
        <v>980</v>
      </c>
      <c r="F53" s="32">
        <v>1041</v>
      </c>
      <c r="G53" s="32">
        <v>785</v>
      </c>
      <c r="H53" s="32">
        <v>678</v>
      </c>
      <c r="I53" s="32">
        <v>2854</v>
      </c>
      <c r="J53" s="32">
        <v>4024</v>
      </c>
      <c r="K53" s="32">
        <v>923</v>
      </c>
      <c r="L53" s="32">
        <v>610</v>
      </c>
      <c r="M53" s="32">
        <v>859</v>
      </c>
      <c r="N53" s="32">
        <v>3270</v>
      </c>
      <c r="O53" s="32">
        <v>2546</v>
      </c>
      <c r="P53" s="32">
        <v>2154</v>
      </c>
      <c r="Q53" s="32">
        <v>1777</v>
      </c>
      <c r="R53" s="32">
        <v>2867</v>
      </c>
      <c r="S53" s="32">
        <v>3227</v>
      </c>
      <c r="T53" s="32">
        <v>1411</v>
      </c>
      <c r="U53" s="32">
        <v>26734</v>
      </c>
      <c r="V53" s="32">
        <v>28044</v>
      </c>
      <c r="W53" s="32">
        <v>31230</v>
      </c>
      <c r="X53" s="32">
        <f>X52</f>
        <v>23733</v>
      </c>
      <c r="Y53" s="32">
        <v>22978</v>
      </c>
      <c r="Z53" s="32">
        <v>9770</v>
      </c>
      <c r="AA53" s="32">
        <f>7745</f>
        <v>7745</v>
      </c>
      <c r="AB53" s="32">
        <f>6573</f>
        <v>6573</v>
      </c>
      <c r="AC53" s="32">
        <f>11611</f>
        <v>11611</v>
      </c>
      <c r="AD53" s="32">
        <f>5807</f>
        <v>5807</v>
      </c>
      <c r="AE53" s="32">
        <v>7129</v>
      </c>
    </row>
    <row r="54" spans="1:31" x14ac:dyDescent="0.2">
      <c r="A54" s="99" t="s">
        <v>182</v>
      </c>
      <c r="B54" s="32"/>
      <c r="C54" s="32">
        <v>0</v>
      </c>
      <c r="D54" s="32"/>
      <c r="E54" s="32">
        <v>0</v>
      </c>
      <c r="F54" s="32"/>
      <c r="G54" s="32">
        <v>0</v>
      </c>
      <c r="H54" s="32"/>
      <c r="I54" s="32">
        <v>0</v>
      </c>
      <c r="J54" s="32"/>
      <c r="K54" s="32">
        <v>0</v>
      </c>
      <c r="L54" s="32"/>
      <c r="M54" s="32">
        <v>0</v>
      </c>
      <c r="N54" s="32"/>
      <c r="O54" s="32">
        <v>0</v>
      </c>
      <c r="P54" s="32"/>
      <c r="Q54" s="32">
        <v>218</v>
      </c>
      <c r="R54" s="32">
        <v>1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/>
      <c r="Y54" s="32"/>
      <c r="Z54" s="32"/>
      <c r="AA54" s="32"/>
      <c r="AB54" s="32"/>
      <c r="AC54" s="32"/>
      <c r="AD54" s="32"/>
      <c r="AE54" s="32"/>
    </row>
    <row r="55" spans="1:31" x14ac:dyDescent="0.2">
      <c r="A55" s="5" t="s">
        <v>183</v>
      </c>
      <c r="B55" s="32">
        <v>75</v>
      </c>
      <c r="C55" s="32">
        <v>77</v>
      </c>
      <c r="D55" s="32">
        <v>61</v>
      </c>
      <c r="E55" s="32">
        <v>65</v>
      </c>
      <c r="F55" s="32">
        <v>61</v>
      </c>
      <c r="G55" s="32">
        <v>89</v>
      </c>
      <c r="H55" s="32">
        <v>91</v>
      </c>
      <c r="I55" s="32">
        <v>114</v>
      </c>
      <c r="J55" s="32">
        <v>112</v>
      </c>
      <c r="K55" s="32">
        <v>117</v>
      </c>
      <c r="L55" s="32">
        <v>109</v>
      </c>
      <c r="M55" s="32">
        <v>107</v>
      </c>
      <c r="N55" s="32">
        <v>99</v>
      </c>
      <c r="O55" s="32">
        <v>102</v>
      </c>
      <c r="P55" s="32">
        <v>85</v>
      </c>
      <c r="Q55" s="32">
        <v>121</v>
      </c>
      <c r="R55" s="32">
        <v>136</v>
      </c>
      <c r="S55" s="32">
        <v>116</v>
      </c>
      <c r="T55" s="32">
        <v>183</v>
      </c>
      <c r="U55" s="32">
        <v>129</v>
      </c>
      <c r="V55" s="32">
        <v>111</v>
      </c>
      <c r="W55" s="32">
        <v>117</v>
      </c>
      <c r="X55" s="32">
        <v>418</v>
      </c>
      <c r="Y55" s="32">
        <v>406</v>
      </c>
      <c r="Z55" s="32">
        <v>396</v>
      </c>
      <c r="AA55" s="32">
        <v>366</v>
      </c>
      <c r="AB55" s="32">
        <f>347</f>
        <v>347</v>
      </c>
      <c r="AC55" s="32">
        <f>208</f>
        <v>208</v>
      </c>
      <c r="AD55" s="32">
        <f>179</f>
        <v>179</v>
      </c>
      <c r="AE55" s="32">
        <f>190</f>
        <v>190</v>
      </c>
    </row>
    <row r="56" spans="1:31" x14ac:dyDescent="0.2">
      <c r="A56" s="5" t="s">
        <v>296</v>
      </c>
      <c r="B56" s="32">
        <f>0</f>
        <v>0</v>
      </c>
      <c r="C56" s="32">
        <f>0</f>
        <v>0</v>
      </c>
      <c r="D56" s="32">
        <f>0</f>
        <v>0</v>
      </c>
      <c r="E56" s="32">
        <f>0</f>
        <v>0</v>
      </c>
      <c r="F56" s="32">
        <f>0</f>
        <v>0</v>
      </c>
      <c r="G56" s="32">
        <f>0</f>
        <v>0</v>
      </c>
      <c r="H56" s="32">
        <f>0</f>
        <v>0</v>
      </c>
      <c r="I56" s="32">
        <f>0</f>
        <v>0</v>
      </c>
      <c r="J56" s="32">
        <f>0</f>
        <v>0</v>
      </c>
      <c r="K56" s="32">
        <f>0</f>
        <v>0</v>
      </c>
      <c r="L56" s="32">
        <f>0</f>
        <v>0</v>
      </c>
      <c r="M56" s="32">
        <f>0</f>
        <v>0</v>
      </c>
      <c r="N56" s="32">
        <f>0</f>
        <v>0</v>
      </c>
      <c r="O56" s="32">
        <f>0</f>
        <v>0</v>
      </c>
      <c r="P56" s="32">
        <f>0</f>
        <v>0</v>
      </c>
      <c r="Q56" s="32">
        <f>0</f>
        <v>0</v>
      </c>
      <c r="R56" s="32">
        <f>0</f>
        <v>0</v>
      </c>
      <c r="S56" s="32">
        <f>0</f>
        <v>0</v>
      </c>
      <c r="T56" s="32">
        <f>0</f>
        <v>0</v>
      </c>
      <c r="U56" s="32">
        <f>0</f>
        <v>0</v>
      </c>
      <c r="V56" s="32">
        <f>0</f>
        <v>0</v>
      </c>
      <c r="W56" s="32">
        <f>0</f>
        <v>0</v>
      </c>
      <c r="X56" s="32">
        <f>0</f>
        <v>0</v>
      </c>
      <c r="Y56" s="32">
        <f>0</f>
        <v>0</v>
      </c>
      <c r="Z56" s="32">
        <f>0</f>
        <v>0</v>
      </c>
      <c r="AA56" s="32">
        <f>0</f>
        <v>0</v>
      </c>
      <c r="AB56" s="32">
        <f>0</f>
        <v>0</v>
      </c>
      <c r="AC56" s="32">
        <f>7497</f>
        <v>7497</v>
      </c>
      <c r="AD56" s="32">
        <f>12172</f>
        <v>12172</v>
      </c>
      <c r="AE56" s="32">
        <f>18063</f>
        <v>18063</v>
      </c>
    </row>
    <row r="57" spans="1:31" x14ac:dyDescent="0.2">
      <c r="A57" s="5" t="s">
        <v>184</v>
      </c>
      <c r="B57" s="32">
        <v>19</v>
      </c>
      <c r="C57" s="32">
        <v>98</v>
      </c>
      <c r="D57" s="32">
        <v>272</v>
      </c>
      <c r="E57" s="32">
        <v>226</v>
      </c>
      <c r="F57" s="32">
        <v>402</v>
      </c>
      <c r="G57" s="32">
        <v>826</v>
      </c>
      <c r="H57" s="32">
        <v>650</v>
      </c>
      <c r="I57" s="32">
        <v>1456</v>
      </c>
      <c r="J57" s="32">
        <v>1249</v>
      </c>
      <c r="K57" s="32">
        <v>1810</v>
      </c>
      <c r="L57" s="32">
        <v>1096</v>
      </c>
      <c r="M57" s="32">
        <v>1557</v>
      </c>
      <c r="N57" s="32">
        <v>1173</v>
      </c>
      <c r="O57" s="32">
        <v>2941</v>
      </c>
      <c r="P57" s="32">
        <v>2428</v>
      </c>
      <c r="Q57" s="32">
        <v>1599</v>
      </c>
      <c r="R57" s="32">
        <v>6551</v>
      </c>
      <c r="S57" s="32">
        <v>6463</v>
      </c>
      <c r="T57" s="32">
        <v>7342</v>
      </c>
      <c r="U57" s="32">
        <v>7930</v>
      </c>
      <c r="V57" s="32">
        <v>8376</v>
      </c>
      <c r="W57" s="32">
        <v>7428</v>
      </c>
      <c r="X57" s="32">
        <v>7745</v>
      </c>
      <c r="Y57" s="32">
        <v>7513</v>
      </c>
      <c r="Z57" s="32">
        <v>6695</v>
      </c>
      <c r="AA57" s="32">
        <v>3578</v>
      </c>
      <c r="AB57" s="32">
        <f>4592</f>
        <v>4592</v>
      </c>
      <c r="AC57" s="32">
        <f>6997</f>
        <v>6997</v>
      </c>
      <c r="AD57" s="32">
        <f>8356</f>
        <v>8356</v>
      </c>
      <c r="AE57" s="32">
        <f>8052</f>
        <v>8052</v>
      </c>
    </row>
    <row r="58" spans="1:31" x14ac:dyDescent="0.2">
      <c r="A58" s="34" t="s">
        <v>185</v>
      </c>
      <c r="B58" s="75">
        <v>7881</v>
      </c>
      <c r="C58" s="75">
        <v>8679</v>
      </c>
      <c r="D58" s="75">
        <v>7829</v>
      </c>
      <c r="E58" s="75">
        <v>14082</v>
      </c>
      <c r="F58" s="75">
        <v>12254</v>
      </c>
      <c r="G58" s="75">
        <v>11876</v>
      </c>
      <c r="H58" s="75">
        <v>11469</v>
      </c>
      <c r="I58" s="75">
        <v>16835</v>
      </c>
      <c r="J58" s="75">
        <v>18760</v>
      </c>
      <c r="K58" s="75">
        <v>15988</v>
      </c>
      <c r="L58" s="75">
        <v>14765</v>
      </c>
      <c r="M58" s="75">
        <v>14938</v>
      </c>
      <c r="N58" s="75">
        <v>19515</v>
      </c>
      <c r="O58" s="75">
        <v>27007</v>
      </c>
      <c r="P58" s="75">
        <v>25340</v>
      </c>
      <c r="Q58" s="75">
        <v>21274</v>
      </c>
      <c r="R58" s="75">
        <v>42977</v>
      </c>
      <c r="S58" s="75">
        <v>52064</v>
      </c>
      <c r="T58" s="75">
        <v>42559</v>
      </c>
      <c r="U58" s="75">
        <v>69429</v>
      </c>
      <c r="V58" s="75">
        <v>86853</v>
      </c>
      <c r="W58" s="75">
        <v>105907</v>
      </c>
      <c r="X58" s="75">
        <v>107522</v>
      </c>
      <c r="Y58" s="75">
        <v>104867</v>
      </c>
      <c r="Z58" s="75">
        <v>98679</v>
      </c>
      <c r="AA58" s="75">
        <v>93801</v>
      </c>
      <c r="AB58" s="75">
        <f>133574</f>
        <v>133574</v>
      </c>
      <c r="AC58" s="75">
        <f>SUM(AC51:AC52,AC55:AC57)</f>
        <v>158086</v>
      </c>
      <c r="AD58" s="75">
        <f>SUM(AD51:AD52,AD55:AD57)</f>
        <v>173570</v>
      </c>
      <c r="AE58" s="75">
        <f>SUM(AE51:AE52,AE55:AE57)</f>
        <v>170332</v>
      </c>
    </row>
    <row r="59" spans="1:31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AB59" s="5"/>
      <c r="AC59" s="5"/>
      <c r="AD59" s="5"/>
      <c r="AE59" s="5"/>
    </row>
    <row r="60" spans="1:31" x14ac:dyDescent="0.2">
      <c r="A60" s="41" t="s">
        <v>186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AB60" s="5"/>
      <c r="AC60" s="5"/>
      <c r="AD60" s="5"/>
      <c r="AE60" s="5"/>
    </row>
    <row r="61" spans="1:31" x14ac:dyDescent="0.2">
      <c r="A61" s="5" t="s">
        <v>179</v>
      </c>
      <c r="B61" s="32">
        <v>1632</v>
      </c>
      <c r="C61" s="32">
        <v>1950</v>
      </c>
      <c r="D61" s="32">
        <v>3375</v>
      </c>
      <c r="E61" s="32">
        <v>3825</v>
      </c>
      <c r="F61" s="32">
        <v>2359</v>
      </c>
      <c r="G61" s="32">
        <v>3043</v>
      </c>
      <c r="H61" s="32">
        <v>4689</v>
      </c>
      <c r="I61" s="32">
        <v>3880</v>
      </c>
      <c r="J61" s="32">
        <v>5141</v>
      </c>
      <c r="K61" s="32">
        <v>6276</v>
      </c>
      <c r="L61" s="32">
        <v>8720</v>
      </c>
      <c r="M61" s="32">
        <v>5639</v>
      </c>
      <c r="N61" s="32">
        <v>4051</v>
      </c>
      <c r="O61" s="32">
        <v>2569</v>
      </c>
      <c r="P61" s="32">
        <v>2133</v>
      </c>
      <c r="Q61" s="32">
        <v>3353</v>
      </c>
      <c r="R61" s="32">
        <v>7229</v>
      </c>
      <c r="S61" s="32">
        <v>10434</v>
      </c>
      <c r="T61" s="32">
        <v>15161</v>
      </c>
      <c r="U61" s="32">
        <v>15869</v>
      </c>
      <c r="V61" s="32">
        <v>9985</v>
      </c>
      <c r="W61" s="32">
        <v>16306</v>
      </c>
      <c r="X61" s="32">
        <v>20968</v>
      </c>
      <c r="Y61" s="32">
        <v>19118</v>
      </c>
      <c r="Z61" s="32">
        <v>17349</v>
      </c>
      <c r="AA61" s="32">
        <v>36499</v>
      </c>
      <c r="AB61" s="32">
        <v>20181</v>
      </c>
      <c r="AC61" s="32">
        <f>44820</f>
        <v>44820</v>
      </c>
      <c r="AD61" s="32">
        <f>58199</f>
        <v>58199</v>
      </c>
      <c r="AE61" s="32">
        <f>85593</f>
        <v>85593</v>
      </c>
    </row>
    <row r="62" spans="1:31" x14ac:dyDescent="0.2">
      <c r="A62" s="5" t="s">
        <v>180</v>
      </c>
      <c r="B62" s="32">
        <v>13487</v>
      </c>
      <c r="C62" s="32">
        <v>13539</v>
      </c>
      <c r="D62" s="32">
        <v>14570</v>
      </c>
      <c r="E62" s="32">
        <v>16966</v>
      </c>
      <c r="F62" s="32">
        <v>18399</v>
      </c>
      <c r="G62" s="32">
        <v>22300</v>
      </c>
      <c r="H62" s="32">
        <v>32436</v>
      </c>
      <c r="I62" s="32">
        <v>21460</v>
      </c>
      <c r="J62" s="32">
        <v>18451</v>
      </c>
      <c r="K62" s="32">
        <v>25630</v>
      </c>
      <c r="L62" s="32">
        <v>34375</v>
      </c>
      <c r="M62" s="32">
        <v>33666</v>
      </c>
      <c r="N62" s="32">
        <v>41773</v>
      </c>
      <c r="O62" s="32">
        <v>40569</v>
      </c>
      <c r="P62" s="32">
        <v>50512</v>
      </c>
      <c r="Q62" s="32">
        <v>43658</v>
      </c>
      <c r="R62" s="32">
        <v>60520</v>
      </c>
      <c r="S62" s="32">
        <v>55581</v>
      </c>
      <c r="T62" s="32">
        <v>53142</v>
      </c>
      <c r="U62" s="32">
        <v>49750</v>
      </c>
      <c r="V62" s="32">
        <v>42788</v>
      </c>
      <c r="W62" s="32">
        <v>38007</v>
      </c>
      <c r="X62" s="32">
        <v>52835</v>
      </c>
      <c r="Y62" s="32">
        <f t="shared" ref="Y62:AD62" si="4">Y63+Y64</f>
        <v>40572</v>
      </c>
      <c r="Z62" s="32">
        <f t="shared" si="4"/>
        <v>53440</v>
      </c>
      <c r="AA62" s="32">
        <f t="shared" si="4"/>
        <v>49977</v>
      </c>
      <c r="AB62" s="32">
        <f t="shared" si="4"/>
        <v>41806</v>
      </c>
      <c r="AC62" s="32">
        <f t="shared" si="4"/>
        <v>42935</v>
      </c>
      <c r="AD62" s="32">
        <f t="shared" si="4"/>
        <v>46299</v>
      </c>
      <c r="AE62" s="32">
        <f>AE63+AE64</f>
        <v>59721</v>
      </c>
    </row>
    <row r="63" spans="1:31" x14ac:dyDescent="0.2">
      <c r="A63" s="99" t="s">
        <v>181</v>
      </c>
      <c r="B63" s="98">
        <v>13487</v>
      </c>
      <c r="C63" s="98">
        <v>13539</v>
      </c>
      <c r="D63" s="98">
        <v>14570</v>
      </c>
      <c r="E63" s="98">
        <v>16966</v>
      </c>
      <c r="F63" s="98">
        <v>18399</v>
      </c>
      <c r="G63" s="98">
        <v>22300</v>
      </c>
      <c r="H63" s="98">
        <v>32436</v>
      </c>
      <c r="I63" s="98">
        <v>21460</v>
      </c>
      <c r="J63" s="98">
        <v>18451</v>
      </c>
      <c r="K63" s="98">
        <v>25630</v>
      </c>
      <c r="L63" s="98">
        <v>34375</v>
      </c>
      <c r="M63" s="98">
        <v>33666</v>
      </c>
      <c r="N63" s="98">
        <v>41773</v>
      </c>
      <c r="O63" s="98">
        <v>14920</v>
      </c>
      <c r="P63" s="98">
        <v>16371</v>
      </c>
      <c r="Q63" s="98">
        <v>16727</v>
      </c>
      <c r="R63" s="98">
        <v>19918</v>
      </c>
      <c r="S63" s="98">
        <v>19142</v>
      </c>
      <c r="T63" s="98">
        <v>19913</v>
      </c>
      <c r="U63" s="98">
        <v>21216</v>
      </c>
      <c r="V63" s="98">
        <v>20703</v>
      </c>
      <c r="W63" s="98">
        <v>23692</v>
      </c>
      <c r="X63" s="98">
        <v>36013</v>
      </c>
      <c r="Y63" s="98">
        <v>28527</v>
      </c>
      <c r="Z63" s="98">
        <f>39877</f>
        <v>39877</v>
      </c>
      <c r="AA63" s="98">
        <f>41380</f>
        <v>41380</v>
      </c>
      <c r="AB63" s="98">
        <f>29673</f>
        <v>29673</v>
      </c>
      <c r="AC63" s="98">
        <f>29489</f>
        <v>29489</v>
      </c>
      <c r="AD63" s="98">
        <f>31884</f>
        <v>31884</v>
      </c>
      <c r="AE63" s="98">
        <f>49459</f>
        <v>49459</v>
      </c>
    </row>
    <row r="64" spans="1:31" x14ac:dyDescent="0.2">
      <c r="A64" s="99" t="s">
        <v>182</v>
      </c>
      <c r="B64" s="98"/>
      <c r="C64" s="98">
        <v>0</v>
      </c>
      <c r="D64" s="98"/>
      <c r="E64" s="98">
        <v>0</v>
      </c>
      <c r="F64" s="98"/>
      <c r="G64" s="98">
        <v>0</v>
      </c>
      <c r="H64" s="98"/>
      <c r="I64" s="98">
        <v>0</v>
      </c>
      <c r="J64" s="98"/>
      <c r="K64" s="98">
        <v>0</v>
      </c>
      <c r="L64" s="98"/>
      <c r="M64" s="98">
        <v>0</v>
      </c>
      <c r="N64" s="98"/>
      <c r="O64" s="98">
        <v>25649</v>
      </c>
      <c r="P64" s="98">
        <v>34141</v>
      </c>
      <c r="Q64" s="98">
        <v>26931</v>
      </c>
      <c r="R64" s="98">
        <v>40602</v>
      </c>
      <c r="S64" s="98">
        <v>36439</v>
      </c>
      <c r="T64" s="98">
        <v>33229</v>
      </c>
      <c r="U64" s="98">
        <v>28351</v>
      </c>
      <c r="V64" s="98">
        <v>22085</v>
      </c>
      <c r="W64" s="98">
        <v>14157</v>
      </c>
      <c r="X64" s="98">
        <v>14948</v>
      </c>
      <c r="Y64" s="98">
        <v>12045</v>
      </c>
      <c r="Z64" s="98">
        <v>13563</v>
      </c>
      <c r="AA64" s="98">
        <f>8597</f>
        <v>8597</v>
      </c>
      <c r="AB64" s="98">
        <f>12133</f>
        <v>12133</v>
      </c>
      <c r="AC64" s="98">
        <f>13446</f>
        <v>13446</v>
      </c>
      <c r="AD64" s="98">
        <f>14415</f>
        <v>14415</v>
      </c>
      <c r="AE64" s="98">
        <f>10262</f>
        <v>10262</v>
      </c>
    </row>
    <row r="65" spans="1:31" x14ac:dyDescent="0.2">
      <c r="A65" s="5" t="s">
        <v>183</v>
      </c>
      <c r="B65" s="32">
        <v>1045</v>
      </c>
      <c r="C65" s="32">
        <v>1560</v>
      </c>
      <c r="D65" s="32">
        <v>1166</v>
      </c>
      <c r="E65" s="32">
        <v>580</v>
      </c>
      <c r="F65" s="32">
        <v>267</v>
      </c>
      <c r="G65" s="32">
        <v>1665</v>
      </c>
      <c r="H65" s="32">
        <v>1339</v>
      </c>
      <c r="I65" s="32">
        <v>2234</v>
      </c>
      <c r="J65" s="32">
        <v>1636</v>
      </c>
      <c r="K65" s="32">
        <v>3546</v>
      </c>
      <c r="L65" s="32">
        <v>1860</v>
      </c>
      <c r="M65" s="32">
        <v>1748</v>
      </c>
      <c r="N65" s="32">
        <v>1494</v>
      </c>
      <c r="O65" s="32">
        <v>1863</v>
      </c>
      <c r="P65" s="32">
        <v>1226</v>
      </c>
      <c r="Q65" s="32">
        <v>961</v>
      </c>
      <c r="R65" s="32">
        <v>677</v>
      </c>
      <c r="S65" s="32">
        <v>689</v>
      </c>
      <c r="T65" s="32">
        <v>622</v>
      </c>
      <c r="U65" s="32">
        <v>398</v>
      </c>
      <c r="V65" s="32">
        <v>865</v>
      </c>
      <c r="W65" s="32">
        <v>518</v>
      </c>
      <c r="X65" s="32">
        <v>1272</v>
      </c>
      <c r="Y65" s="32">
        <v>9058</v>
      </c>
      <c r="Z65" s="95">
        <v>8741</v>
      </c>
      <c r="AA65" s="95">
        <v>7915</v>
      </c>
      <c r="AB65" s="95">
        <f>8167</f>
        <v>8167</v>
      </c>
      <c r="AC65" s="95">
        <f>25044</f>
        <v>25044</v>
      </c>
      <c r="AD65" s="95">
        <f>13244</f>
        <v>13244</v>
      </c>
      <c r="AE65" s="95">
        <v>34280</v>
      </c>
    </row>
    <row r="66" spans="1:31" x14ac:dyDescent="0.2">
      <c r="A66" s="5" t="s">
        <v>316</v>
      </c>
      <c r="B66" s="100" t="s">
        <v>11</v>
      </c>
      <c r="C66" s="100" t="s">
        <v>11</v>
      </c>
      <c r="D66" s="100" t="s">
        <v>11</v>
      </c>
      <c r="E66" s="100" t="s">
        <v>11</v>
      </c>
      <c r="F66" s="100" t="s">
        <v>11</v>
      </c>
      <c r="G66" s="100" t="s">
        <v>11</v>
      </c>
      <c r="H66" s="100" t="s">
        <v>11</v>
      </c>
      <c r="I66" s="100" t="s">
        <v>11</v>
      </c>
      <c r="J66" s="100" t="s">
        <v>11</v>
      </c>
      <c r="K66" s="100" t="s">
        <v>11</v>
      </c>
      <c r="L66" s="100" t="s">
        <v>11</v>
      </c>
      <c r="M66" s="100" t="s">
        <v>11</v>
      </c>
      <c r="N66" s="100" t="s">
        <v>11</v>
      </c>
      <c r="O66" s="100" t="s">
        <v>11</v>
      </c>
      <c r="P66" s="100" t="s">
        <v>11</v>
      </c>
      <c r="Q66" s="100" t="s">
        <v>11</v>
      </c>
      <c r="R66" s="100" t="s">
        <v>11</v>
      </c>
      <c r="S66" s="100" t="s">
        <v>11</v>
      </c>
      <c r="T66" s="100" t="s">
        <v>11</v>
      </c>
      <c r="U66" s="32">
        <v>183</v>
      </c>
      <c r="V66" s="32">
        <v>375</v>
      </c>
      <c r="W66" s="32">
        <v>158</v>
      </c>
      <c r="X66" s="32">
        <v>602</v>
      </c>
      <c r="Y66" s="32">
        <v>241</v>
      </c>
      <c r="Z66" s="95">
        <v>994</v>
      </c>
      <c r="AA66" s="95">
        <v>1308</v>
      </c>
      <c r="AB66" s="95">
        <f>463</f>
        <v>463</v>
      </c>
      <c r="AC66" s="95">
        <f>744</f>
        <v>744</v>
      </c>
      <c r="AD66" s="95">
        <f>1012</f>
        <v>1012</v>
      </c>
      <c r="AE66" s="95">
        <f>833</f>
        <v>833</v>
      </c>
    </row>
    <row r="67" spans="1:31" x14ac:dyDescent="0.2">
      <c r="A67" s="44" t="s">
        <v>187</v>
      </c>
      <c r="B67" s="96">
        <v>16164</v>
      </c>
      <c r="C67" s="96">
        <v>17049</v>
      </c>
      <c r="D67" s="96">
        <v>19111</v>
      </c>
      <c r="E67" s="96">
        <v>21371</v>
      </c>
      <c r="F67" s="96">
        <v>21025</v>
      </c>
      <c r="G67" s="96">
        <v>27008</v>
      </c>
      <c r="H67" s="96">
        <v>38464</v>
      </c>
      <c r="I67" s="96">
        <v>27574</v>
      </c>
      <c r="J67" s="96">
        <v>25228</v>
      </c>
      <c r="K67" s="96">
        <v>35452</v>
      </c>
      <c r="L67" s="96">
        <v>44955</v>
      </c>
      <c r="M67" s="96">
        <v>41053</v>
      </c>
      <c r="N67" s="96">
        <v>47318</v>
      </c>
      <c r="O67" s="96">
        <v>45001</v>
      </c>
      <c r="P67" s="96">
        <v>53871</v>
      </c>
      <c r="Q67" s="96">
        <v>47972</v>
      </c>
      <c r="R67" s="96">
        <v>68426</v>
      </c>
      <c r="S67" s="96">
        <v>66704</v>
      </c>
      <c r="T67" s="96">
        <v>68925</v>
      </c>
      <c r="U67" s="96">
        <v>66017</v>
      </c>
      <c r="V67" s="75">
        <v>54013</v>
      </c>
      <c r="W67" s="75">
        <v>54831</v>
      </c>
      <c r="X67" s="75">
        <f>SUM(X61:X62)</f>
        <v>73803</v>
      </c>
      <c r="Y67" s="75">
        <v>68989</v>
      </c>
      <c r="Z67" s="75">
        <v>80524</v>
      </c>
      <c r="AA67" s="75">
        <v>95699</v>
      </c>
      <c r="AB67" s="75">
        <f>70617</f>
        <v>70617</v>
      </c>
      <c r="AC67" s="75">
        <f>SUM(AC61:AC62,AC65:AC66)</f>
        <v>113543</v>
      </c>
      <c r="AD67" s="75">
        <f>SUM(AD61:AD62,AD65:AD66)</f>
        <v>118754</v>
      </c>
      <c r="AE67" s="75">
        <f>SUM(AE61:AE62,AE65:AE66)</f>
        <v>180427</v>
      </c>
    </row>
    <row r="68" spans="1:31" x14ac:dyDescent="0.2">
      <c r="A68" s="42" t="s">
        <v>188</v>
      </c>
      <c r="B68" s="76">
        <v>52851</v>
      </c>
      <c r="C68" s="76">
        <v>58784</v>
      </c>
      <c r="D68" s="76">
        <v>62352</v>
      </c>
      <c r="E68" s="76">
        <v>73516</v>
      </c>
      <c r="F68" s="76">
        <v>74411</v>
      </c>
      <c r="G68" s="76">
        <v>83570</v>
      </c>
      <c r="H68" s="76">
        <v>95562</v>
      </c>
      <c r="I68" s="76">
        <v>96280</v>
      </c>
      <c r="J68" s="76">
        <v>96152</v>
      </c>
      <c r="K68" s="76">
        <v>106283</v>
      </c>
      <c r="L68" s="76">
        <v>114870</v>
      </c>
      <c r="M68" s="76">
        <v>114141</v>
      </c>
      <c r="N68" s="76">
        <v>125699</v>
      </c>
      <c r="O68" s="76">
        <v>134813</v>
      </c>
      <c r="P68" s="76">
        <v>138127</v>
      </c>
      <c r="Q68" s="76">
        <v>124537</v>
      </c>
      <c r="R68" s="76">
        <v>183817</v>
      </c>
      <c r="S68" s="76">
        <v>171344</v>
      </c>
      <c r="T68" s="76">
        <v>162289</v>
      </c>
      <c r="U68" s="76">
        <v>186519</v>
      </c>
      <c r="V68" s="97">
        <v>204237</v>
      </c>
      <c r="W68" s="97">
        <v>222098</v>
      </c>
      <c r="X68" s="97">
        <f>X67+X58+X48</f>
        <v>254552</v>
      </c>
      <c r="Y68" s="97">
        <v>248045</v>
      </c>
      <c r="Z68" s="97">
        <v>251350</v>
      </c>
      <c r="AA68" s="97">
        <v>260391</v>
      </c>
      <c r="AB68" s="97">
        <f>274393</f>
        <v>274393</v>
      </c>
      <c r="AC68" s="97">
        <f>SUM(AC48,AC58,AC67)</f>
        <v>336414</v>
      </c>
      <c r="AD68" s="97">
        <f>SUM(AD48,AD58,AD67)</f>
        <v>348169</v>
      </c>
      <c r="AE68" s="97">
        <f>SUM(AE48,AE58,AE67)</f>
        <v>380197</v>
      </c>
    </row>
  </sheetData>
  <hyperlinks>
    <hyperlink ref="A3" location="Содержание!A1" display="К содержанию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V78"/>
  <sheetViews>
    <sheetView showGridLines="0" topLeftCell="A49" zoomScaleNormal="100" workbookViewId="0">
      <pane xSplit="1" topLeftCell="B1" activePane="topRight" state="frozen"/>
      <selection pane="topRight" activeCell="AQ70" sqref="AQ70"/>
    </sheetView>
  </sheetViews>
  <sheetFormatPr defaultColWidth="9.140625" defaultRowHeight="14.25" outlineLevelCol="1" x14ac:dyDescent="0.2"/>
  <cols>
    <col min="1" max="1" width="119" style="38" customWidth="1"/>
    <col min="2" max="16" width="9.28515625" style="5" bestFit="1" customWidth="1"/>
    <col min="17" max="17" width="9.140625" style="5"/>
    <col min="18" max="37" width="9.140625" style="5" customWidth="1" outlineLevel="1"/>
    <col min="38" max="39" width="9.28515625" style="5" customWidth="1" outlineLevel="1"/>
    <col min="40" max="41" width="9.28515625" style="5" bestFit="1" customWidth="1" outlineLevel="1"/>
    <col min="42" max="42" width="10.28515625" style="5" bestFit="1" customWidth="1" outlineLevel="1"/>
    <col min="43" max="43" width="8.28515625" style="5" bestFit="1" customWidth="1" outlineLevel="1"/>
    <col min="44" max="44" width="9.140625" style="38" outlineLevel="1"/>
    <col min="45" max="45" width="8.28515625" style="38" bestFit="1" customWidth="1" outlineLevel="1"/>
    <col min="46" max="47" width="9.140625" style="38" outlineLevel="1"/>
    <col min="48" max="16384" width="9.140625" style="38"/>
  </cols>
  <sheetData>
    <row r="2" spans="1:47" ht="18" x14ac:dyDescent="0.25">
      <c r="A2" s="51" t="s">
        <v>198</v>
      </c>
    </row>
    <row r="3" spans="1:47" ht="15" x14ac:dyDescent="0.25">
      <c r="A3" s="113" t="s">
        <v>23</v>
      </c>
    </row>
    <row r="5" spans="1:47" x14ac:dyDescent="0.2">
      <c r="A5" s="33" t="s">
        <v>34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1">
        <v>2025</v>
      </c>
      <c r="Q5" s="72"/>
      <c r="R5" s="73" t="s">
        <v>213</v>
      </c>
      <c r="S5" s="73" t="s">
        <v>214</v>
      </c>
      <c r="T5" s="73" t="s">
        <v>215</v>
      </c>
      <c r="U5" s="73" t="s">
        <v>216</v>
      </c>
      <c r="V5" s="73" t="s">
        <v>217</v>
      </c>
      <c r="W5" s="73" t="s">
        <v>218</v>
      </c>
      <c r="X5" s="73" t="s">
        <v>219</v>
      </c>
      <c r="Y5" s="73" t="s">
        <v>220</v>
      </c>
      <c r="Z5" s="73" t="s">
        <v>221</v>
      </c>
      <c r="AA5" s="73" t="s">
        <v>222</v>
      </c>
      <c r="AB5" s="73" t="s">
        <v>223</v>
      </c>
      <c r="AC5" s="73" t="s">
        <v>224</v>
      </c>
      <c r="AD5" s="73" t="s">
        <v>225</v>
      </c>
      <c r="AE5" s="73" t="s">
        <v>226</v>
      </c>
      <c r="AF5" s="73" t="s">
        <v>227</v>
      </c>
      <c r="AG5" s="73" t="s">
        <v>228</v>
      </c>
      <c r="AH5" s="73" t="s">
        <v>229</v>
      </c>
      <c r="AI5" s="73" t="s">
        <v>230</v>
      </c>
      <c r="AJ5" s="74" t="s">
        <v>231</v>
      </c>
      <c r="AK5" s="74" t="s">
        <v>232</v>
      </c>
      <c r="AL5" s="74" t="s">
        <v>233</v>
      </c>
      <c r="AM5" s="74" t="s">
        <v>234</v>
      </c>
      <c r="AN5" s="74" t="s">
        <v>235</v>
      </c>
      <c r="AO5" s="74" t="s">
        <v>236</v>
      </c>
      <c r="AP5" s="74" t="s">
        <v>237</v>
      </c>
      <c r="AQ5" s="74" t="s">
        <v>238</v>
      </c>
      <c r="AR5" s="74" t="s">
        <v>281</v>
      </c>
      <c r="AS5" s="74" t="s">
        <v>290</v>
      </c>
      <c r="AT5" s="74" t="s">
        <v>300</v>
      </c>
      <c r="AU5" s="74" t="s">
        <v>312</v>
      </c>
    </row>
    <row r="6" spans="1:47" x14ac:dyDescent="0.2">
      <c r="A6" s="4" t="s">
        <v>199</v>
      </c>
      <c r="AR6" s="5"/>
      <c r="AS6" s="5"/>
      <c r="AT6" s="5"/>
      <c r="AU6" s="5"/>
    </row>
    <row r="7" spans="1:47" x14ac:dyDescent="0.2">
      <c r="A7" s="45" t="s">
        <v>132</v>
      </c>
      <c r="B7" s="101">
        <f>SUM(R7:S7)</f>
        <v>7440</v>
      </c>
      <c r="C7" s="101">
        <f>SUM(T7:U7)</f>
        <v>5000</v>
      </c>
      <c r="D7" s="101">
        <f>SUM(V7:W7)</f>
        <v>6664</v>
      </c>
      <c r="E7" s="101">
        <f>SUM(X7:Y7)</f>
        <v>8369</v>
      </c>
      <c r="F7" s="101">
        <f>SUM(Z7:AA7)</f>
        <v>5429</v>
      </c>
      <c r="G7" s="101">
        <f>SUM(AB7:AC7)</f>
        <v>4902</v>
      </c>
      <c r="H7" s="101">
        <f>SUM(AD7:AE7)</f>
        <v>7893</v>
      </c>
      <c r="I7" s="101">
        <f>SUM(AF7:AG7)</f>
        <v>-700</v>
      </c>
      <c r="J7" s="101">
        <f>SUM(AH7:AI7)</f>
        <v>186</v>
      </c>
      <c r="K7" s="102">
        <f>SUM(AJ7:AK7)</f>
        <v>2036</v>
      </c>
      <c r="L7" s="102">
        <f>SUM(AL7:AM7)</f>
        <v>3007</v>
      </c>
      <c r="M7" s="102">
        <f>SUM(AN7:AO7)</f>
        <v>13001</v>
      </c>
      <c r="N7" s="102">
        <v>-3370</v>
      </c>
      <c r="O7" s="102">
        <f>-6914</f>
        <v>-6914</v>
      </c>
      <c r="P7" s="102">
        <f>-22336</f>
        <v>-22336</v>
      </c>
      <c r="R7" s="101">
        <v>2751</v>
      </c>
      <c r="S7" s="101">
        <v>4689</v>
      </c>
      <c r="T7" s="101">
        <v>2369</v>
      </c>
      <c r="U7" s="101">
        <v>2631</v>
      </c>
      <c r="V7" s="101">
        <v>3098</v>
      </c>
      <c r="W7" s="101">
        <v>3566</v>
      </c>
      <c r="X7" s="101">
        <v>927</v>
      </c>
      <c r="Y7" s="101">
        <v>7442</v>
      </c>
      <c r="Z7" s="101">
        <v>2193</v>
      </c>
      <c r="AA7" s="101">
        <v>3236</v>
      </c>
      <c r="AB7" s="101">
        <v>1308</v>
      </c>
      <c r="AC7" s="101">
        <v>3594</v>
      </c>
      <c r="AD7" s="101">
        <v>2122</v>
      </c>
      <c r="AE7" s="101">
        <v>5771</v>
      </c>
      <c r="AF7" s="101">
        <v>-1981</v>
      </c>
      <c r="AG7" s="101">
        <v>1281</v>
      </c>
      <c r="AH7" s="101">
        <v>559</v>
      </c>
      <c r="AI7" s="101">
        <v>-373</v>
      </c>
      <c r="AJ7" s="78">
        <v>-1771</v>
      </c>
      <c r="AK7" s="78">
        <v>3807</v>
      </c>
      <c r="AL7" s="102">
        <v>1295</v>
      </c>
      <c r="AM7" s="102">
        <v>1712</v>
      </c>
      <c r="AN7" s="102">
        <v>11672</v>
      </c>
      <c r="AO7" s="102">
        <v>1329</v>
      </c>
      <c r="AP7" s="102">
        <v>-2119</v>
      </c>
      <c r="AQ7" s="102">
        <f>N7-AP7</f>
        <v>-1251</v>
      </c>
      <c r="AR7" s="102">
        <f>-1497</f>
        <v>-1497</v>
      </c>
      <c r="AS7" s="102">
        <f>O7-AR7</f>
        <v>-5417</v>
      </c>
      <c r="AT7" s="102">
        <f>-8940</f>
        <v>-8940</v>
      </c>
      <c r="AU7" s="102">
        <f>P7-AT7</f>
        <v>-13396</v>
      </c>
    </row>
    <row r="8" spans="1:47" x14ac:dyDescent="0.2">
      <c r="A8" s="46"/>
      <c r="B8" s="32"/>
      <c r="C8" s="32"/>
      <c r="D8" s="32"/>
      <c r="E8" s="32"/>
      <c r="F8" s="32"/>
      <c r="G8" s="32"/>
      <c r="H8" s="32"/>
      <c r="I8" s="32"/>
      <c r="J8" s="32"/>
      <c r="K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R8" s="5"/>
      <c r="AS8" s="5"/>
      <c r="AT8" s="5"/>
      <c r="AU8" s="5"/>
    </row>
    <row r="9" spans="1:47" x14ac:dyDescent="0.2">
      <c r="A9" s="47" t="s">
        <v>200</v>
      </c>
      <c r="B9" s="32"/>
      <c r="C9" s="32"/>
      <c r="D9" s="32"/>
      <c r="E9" s="32"/>
      <c r="F9" s="32"/>
      <c r="G9" s="32"/>
      <c r="H9" s="32"/>
      <c r="I9" s="32"/>
      <c r="J9" s="32"/>
      <c r="K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R9" s="5"/>
      <c r="AS9" s="5"/>
      <c r="AT9" s="5"/>
      <c r="AU9" s="5"/>
    </row>
    <row r="10" spans="1:47" x14ac:dyDescent="0.2">
      <c r="A10" s="5" t="s">
        <v>201</v>
      </c>
      <c r="B10" s="32">
        <f t="shared" ref="B10:B44" si="0">SUM(R10:S10)</f>
        <v>265</v>
      </c>
      <c r="C10" s="32">
        <f t="shared" ref="C10:C44" si="1">SUM(T10:U10)</f>
        <v>417</v>
      </c>
      <c r="D10" s="32">
        <f t="shared" ref="D10:D44" si="2">SUM(V10:W10)</f>
        <v>343</v>
      </c>
      <c r="E10" s="32">
        <f t="shared" ref="E10:E44" si="3">SUM(X10:Y10)</f>
        <v>417</v>
      </c>
      <c r="F10" s="32">
        <f t="shared" ref="F10:F44" si="4">SUM(Z10:AA10)</f>
        <v>406</v>
      </c>
      <c r="G10" s="32">
        <f t="shared" ref="G10:G44" si="5">SUM(AB10:AC10)</f>
        <v>434</v>
      </c>
      <c r="H10" s="32">
        <f t="shared" ref="H10:H44" si="6">SUM(AD10:AE10)</f>
        <v>340</v>
      </c>
      <c r="I10" s="32">
        <f t="shared" ref="I10:I44" si="7">SUM(AF10:AG10)</f>
        <v>365</v>
      </c>
      <c r="J10" s="32">
        <f t="shared" ref="J10:J44" si="8">SUM(AH10:AI10)</f>
        <v>542</v>
      </c>
      <c r="K10" s="32">
        <f t="shared" ref="K10:K44" si="9">SUM(AJ10:AK10)</f>
        <v>481</v>
      </c>
      <c r="L10" s="32">
        <f>SUM(AL10:AM10)</f>
        <v>521</v>
      </c>
      <c r="M10" s="32">
        <f t="shared" ref="M10:O77" si="10">SUM(AN10:AO10)</f>
        <v>541</v>
      </c>
      <c r="N10" s="32">
        <v>797</v>
      </c>
      <c r="O10" s="32">
        <f>911</f>
        <v>911</v>
      </c>
      <c r="P10" s="32">
        <f>988</f>
        <v>988</v>
      </c>
      <c r="R10" s="32">
        <v>127</v>
      </c>
      <c r="S10" s="32">
        <v>138</v>
      </c>
      <c r="T10" s="32">
        <v>209</v>
      </c>
      <c r="U10" s="32">
        <v>208</v>
      </c>
      <c r="V10" s="32">
        <v>168</v>
      </c>
      <c r="W10" s="32">
        <v>175</v>
      </c>
      <c r="X10" s="32">
        <v>204</v>
      </c>
      <c r="Y10" s="32">
        <v>213</v>
      </c>
      <c r="Z10" s="32">
        <v>213</v>
      </c>
      <c r="AA10" s="32">
        <v>193</v>
      </c>
      <c r="AB10" s="32">
        <v>240</v>
      </c>
      <c r="AC10" s="32">
        <v>194</v>
      </c>
      <c r="AD10" s="32">
        <v>172</v>
      </c>
      <c r="AE10" s="32">
        <v>168</v>
      </c>
      <c r="AF10" s="32">
        <v>169</v>
      </c>
      <c r="AG10" s="32">
        <v>196</v>
      </c>
      <c r="AH10" s="32">
        <v>270</v>
      </c>
      <c r="AI10" s="32">
        <v>272</v>
      </c>
      <c r="AJ10" s="32">
        <v>385</v>
      </c>
      <c r="AK10" s="32">
        <v>96</v>
      </c>
      <c r="AL10" s="32">
        <v>233</v>
      </c>
      <c r="AM10" s="32">
        <v>288</v>
      </c>
      <c r="AN10" s="32">
        <v>273</v>
      </c>
      <c r="AO10" s="32">
        <v>268</v>
      </c>
      <c r="AP10" s="32">
        <f>403</f>
        <v>403</v>
      </c>
      <c r="AQ10" s="32">
        <f t="shared" ref="AQ10:AQ73" si="11">N10-AP10</f>
        <v>394</v>
      </c>
      <c r="AR10" s="32">
        <f>450</f>
        <v>450</v>
      </c>
      <c r="AS10" s="32">
        <f t="shared" ref="AS10:AS70" si="12">O10-AR10</f>
        <v>461</v>
      </c>
      <c r="AT10" s="32">
        <f>459</f>
        <v>459</v>
      </c>
      <c r="AU10" s="32">
        <f t="shared" ref="AU10:AU71" si="13">P10-AT10</f>
        <v>529</v>
      </c>
    </row>
    <row r="11" spans="1:47" x14ac:dyDescent="0.2">
      <c r="A11" s="5" t="s">
        <v>202</v>
      </c>
      <c r="B11" s="32">
        <f t="shared" si="0"/>
        <v>-92</v>
      </c>
      <c r="C11" s="32">
        <f t="shared" si="1"/>
        <v>-49</v>
      </c>
      <c r="D11" s="32">
        <f t="shared" si="2"/>
        <v>-15</v>
      </c>
      <c r="E11" s="32">
        <f t="shared" si="3"/>
        <v>-52</v>
      </c>
      <c r="F11" s="32">
        <f t="shared" si="4"/>
        <v>-65</v>
      </c>
      <c r="G11" s="32">
        <f t="shared" si="5"/>
        <v>-52</v>
      </c>
      <c r="H11" s="32">
        <f t="shared" si="6"/>
        <v>-113</v>
      </c>
      <c r="I11" s="32">
        <f t="shared" si="7"/>
        <v>8</v>
      </c>
      <c r="J11" s="32">
        <f t="shared" si="8"/>
        <v>-274</v>
      </c>
      <c r="K11" s="32">
        <f t="shared" si="9"/>
        <v>-51</v>
      </c>
      <c r="L11" s="32">
        <f>SUM(AL11:AM11)</f>
        <v>-162</v>
      </c>
      <c r="M11" s="32">
        <f t="shared" si="10"/>
        <v>90</v>
      </c>
      <c r="N11" s="32">
        <v>-214</v>
      </c>
      <c r="O11" s="32">
        <f>-282</f>
        <v>-282</v>
      </c>
      <c r="P11" s="32">
        <f>-841</f>
        <v>-841</v>
      </c>
      <c r="R11" s="32">
        <v>-59</v>
      </c>
      <c r="S11" s="32">
        <v>-33</v>
      </c>
      <c r="T11" s="32">
        <v>-27</v>
      </c>
      <c r="U11" s="32">
        <v>-22</v>
      </c>
      <c r="V11" s="32">
        <v>-27</v>
      </c>
      <c r="W11" s="32">
        <v>12</v>
      </c>
      <c r="X11" s="32">
        <v>-46</v>
      </c>
      <c r="Y11" s="32">
        <v>-6</v>
      </c>
      <c r="Z11" s="32">
        <v>20</v>
      </c>
      <c r="AA11" s="32">
        <v>-85</v>
      </c>
      <c r="AB11" s="32">
        <v>-7</v>
      </c>
      <c r="AC11" s="32">
        <v>-45</v>
      </c>
      <c r="AD11" s="32">
        <v>-51</v>
      </c>
      <c r="AE11" s="32">
        <v>-62</v>
      </c>
      <c r="AF11" s="32">
        <v>7</v>
      </c>
      <c r="AG11" s="32">
        <v>1</v>
      </c>
      <c r="AH11" s="32">
        <v>-14</v>
      </c>
      <c r="AI11" s="32">
        <v>-260</v>
      </c>
      <c r="AJ11" s="32">
        <v>-25</v>
      </c>
      <c r="AK11" s="32">
        <v>-26</v>
      </c>
      <c r="AL11" s="32">
        <v>-108</v>
      </c>
      <c r="AM11" s="32">
        <v>-54</v>
      </c>
      <c r="AN11" s="32">
        <v>60</v>
      </c>
      <c r="AO11" s="32">
        <v>30</v>
      </c>
      <c r="AP11" s="32">
        <v>-197</v>
      </c>
      <c r="AQ11" s="32">
        <f t="shared" si="11"/>
        <v>-17</v>
      </c>
      <c r="AR11" s="32">
        <f>-41</f>
        <v>-41</v>
      </c>
      <c r="AS11" s="32">
        <f t="shared" si="12"/>
        <v>-241</v>
      </c>
      <c r="AT11" s="32">
        <f>-54</f>
        <v>-54</v>
      </c>
      <c r="AU11" s="32">
        <f t="shared" si="13"/>
        <v>-787</v>
      </c>
    </row>
    <row r="12" spans="1:47" x14ac:dyDescent="0.2">
      <c r="A12" s="5" t="s">
        <v>283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-267</v>
      </c>
      <c r="H12" s="32">
        <f t="shared" si="6"/>
        <v>-27</v>
      </c>
      <c r="I12" s="32">
        <f t="shared" si="7"/>
        <v>0</v>
      </c>
      <c r="J12" s="32">
        <f t="shared" si="8"/>
        <v>-13</v>
      </c>
      <c r="K12" s="32">
        <f t="shared" si="9"/>
        <v>-103</v>
      </c>
      <c r="L12" s="32">
        <f t="shared" ref="L12:L43" si="14">SUM(AL12:AM12)</f>
        <v>-279</v>
      </c>
      <c r="M12" s="32">
        <f t="shared" si="10"/>
        <v>3</v>
      </c>
      <c r="N12" s="32">
        <v>0</v>
      </c>
      <c r="O12" s="32">
        <f>-14</f>
        <v>-14</v>
      </c>
      <c r="P12" s="32">
        <f>-5</f>
        <v>-5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-267</v>
      </c>
      <c r="AD12" s="32">
        <v>-27</v>
      </c>
      <c r="AE12" s="32">
        <v>0</v>
      </c>
      <c r="AF12" s="32">
        <v>0</v>
      </c>
      <c r="AG12" s="32">
        <v>0</v>
      </c>
      <c r="AH12" s="32">
        <v>0</v>
      </c>
      <c r="AI12" s="32">
        <v>-13</v>
      </c>
      <c r="AJ12" s="32">
        <v>-23</v>
      </c>
      <c r="AK12" s="32">
        <v>-80</v>
      </c>
      <c r="AL12" s="32">
        <v>-178</v>
      </c>
      <c r="AM12" s="32">
        <v>-101</v>
      </c>
      <c r="AN12" s="32">
        <v>0</v>
      </c>
      <c r="AO12" s="32">
        <v>3</v>
      </c>
      <c r="AP12" s="32">
        <v>23</v>
      </c>
      <c r="AQ12" s="32">
        <f t="shared" si="11"/>
        <v>-23</v>
      </c>
      <c r="AR12" s="32">
        <f>-39</f>
        <v>-39</v>
      </c>
      <c r="AS12" s="32">
        <f t="shared" si="12"/>
        <v>25</v>
      </c>
      <c r="AT12" s="32">
        <f>-9</f>
        <v>-9</v>
      </c>
      <c r="AU12" s="32">
        <f t="shared" si="13"/>
        <v>4</v>
      </c>
    </row>
    <row r="13" spans="1:47" x14ac:dyDescent="0.2">
      <c r="A13" s="5" t="s">
        <v>284</v>
      </c>
      <c r="B13" s="32">
        <f t="shared" si="0"/>
        <v>0</v>
      </c>
      <c r="C13" s="32">
        <f t="shared" si="1"/>
        <v>0</v>
      </c>
      <c r="D13" s="32">
        <f t="shared" si="2"/>
        <v>0</v>
      </c>
      <c r="E13" s="32">
        <f t="shared" si="3"/>
        <v>0</v>
      </c>
      <c r="F13" s="32">
        <f t="shared" si="4"/>
        <v>0</v>
      </c>
      <c r="G13" s="32">
        <f t="shared" si="5"/>
        <v>0</v>
      </c>
      <c r="H13" s="32">
        <f t="shared" si="6"/>
        <v>0</v>
      </c>
      <c r="I13" s="32">
        <f t="shared" si="7"/>
        <v>0</v>
      </c>
      <c r="J13" s="32">
        <f t="shared" si="8"/>
        <v>0</v>
      </c>
      <c r="K13" s="32">
        <f t="shared" si="9"/>
        <v>200</v>
      </c>
      <c r="L13" s="32">
        <f t="shared" si="14"/>
        <v>205</v>
      </c>
      <c r="M13" s="32">
        <f t="shared" si="10"/>
        <v>-51</v>
      </c>
      <c r="N13" s="32">
        <v>84</v>
      </c>
      <c r="O13" s="32">
        <f>-308</f>
        <v>-308</v>
      </c>
      <c r="P13" s="32">
        <f>-37</f>
        <v>-37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200</v>
      </c>
      <c r="AL13" s="32">
        <v>6</v>
      </c>
      <c r="AM13" s="32">
        <v>199</v>
      </c>
      <c r="AN13" s="32">
        <v>-55</v>
      </c>
      <c r="AO13" s="32">
        <v>4</v>
      </c>
      <c r="AP13" s="32">
        <f>0</f>
        <v>0</v>
      </c>
      <c r="AQ13" s="32">
        <f t="shared" si="11"/>
        <v>84</v>
      </c>
      <c r="AR13" s="32">
        <f>-6</f>
        <v>-6</v>
      </c>
      <c r="AS13" s="32">
        <f t="shared" si="12"/>
        <v>-302</v>
      </c>
      <c r="AT13" s="32">
        <f>-31</f>
        <v>-31</v>
      </c>
      <c r="AU13" s="32">
        <f t="shared" si="13"/>
        <v>-6</v>
      </c>
    </row>
    <row r="14" spans="1:47" x14ac:dyDescent="0.2">
      <c r="A14" s="5" t="s">
        <v>203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280</v>
      </c>
      <c r="F14" s="32">
        <f t="shared" si="4"/>
        <v>215</v>
      </c>
      <c r="G14" s="32">
        <f t="shared" si="5"/>
        <v>-41</v>
      </c>
      <c r="H14" s="32">
        <f t="shared" si="6"/>
        <v>0</v>
      </c>
      <c r="I14" s="32">
        <f t="shared" si="7"/>
        <v>0</v>
      </c>
      <c r="J14" s="32">
        <f t="shared" si="8"/>
        <v>0</v>
      </c>
      <c r="K14" s="32">
        <f t="shared" si="9"/>
        <v>0</v>
      </c>
      <c r="L14" s="32">
        <f t="shared" si="14"/>
        <v>0</v>
      </c>
      <c r="M14" s="32">
        <f t="shared" si="10"/>
        <v>0</v>
      </c>
      <c r="N14" s="32">
        <f t="shared" si="10"/>
        <v>0</v>
      </c>
      <c r="O14" s="32">
        <f>-169</f>
        <v>-169</v>
      </c>
      <c r="P14" s="32">
        <f>0</f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60</v>
      </c>
      <c r="Y14" s="32">
        <v>220</v>
      </c>
      <c r="Z14" s="32">
        <v>166</v>
      </c>
      <c r="AA14" s="32">
        <v>49</v>
      </c>
      <c r="AB14" s="32">
        <v>27</v>
      </c>
      <c r="AC14" s="32">
        <v>-68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f t="shared" si="11"/>
        <v>0</v>
      </c>
      <c r="AR14" s="32">
        <f>0</f>
        <v>0</v>
      </c>
      <c r="AS14" s="32">
        <f t="shared" si="12"/>
        <v>-169</v>
      </c>
      <c r="AT14" s="32">
        <f>0</f>
        <v>0</v>
      </c>
      <c r="AU14" s="32">
        <f t="shared" si="13"/>
        <v>0</v>
      </c>
    </row>
    <row r="15" spans="1:47" x14ac:dyDescent="0.2">
      <c r="A15" s="5" t="s">
        <v>292</v>
      </c>
      <c r="B15" s="32">
        <f>0</f>
        <v>0</v>
      </c>
      <c r="C15" s="32">
        <f>0</f>
        <v>0</v>
      </c>
      <c r="D15" s="32">
        <f>0</f>
        <v>0</v>
      </c>
      <c r="E15" s="32">
        <f>0</f>
        <v>0</v>
      </c>
      <c r="F15" s="32">
        <f>0</f>
        <v>0</v>
      </c>
      <c r="G15" s="32">
        <f>0</f>
        <v>0</v>
      </c>
      <c r="H15" s="32">
        <f>0</f>
        <v>0</v>
      </c>
      <c r="I15" s="32">
        <f>0</f>
        <v>0</v>
      </c>
      <c r="J15" s="32">
        <f>0</f>
        <v>0</v>
      </c>
      <c r="K15" s="32">
        <f>0</f>
        <v>0</v>
      </c>
      <c r="L15" s="32">
        <f>0</f>
        <v>0</v>
      </c>
      <c r="M15" s="32">
        <f>0</f>
        <v>0</v>
      </c>
      <c r="N15" s="32">
        <f>0</f>
        <v>0</v>
      </c>
      <c r="O15" s="32">
        <f>168</f>
        <v>168</v>
      </c>
      <c r="P15" s="32">
        <f>28</f>
        <v>28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f t="shared" si="12"/>
        <v>168</v>
      </c>
      <c r="AT15" s="95">
        <f>28</f>
        <v>28</v>
      </c>
      <c r="AU15" s="95">
        <f t="shared" si="13"/>
        <v>0</v>
      </c>
    </row>
    <row r="16" spans="1:47" x14ac:dyDescent="0.2">
      <c r="A16" s="5" t="s">
        <v>304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466</v>
      </c>
      <c r="F16" s="32">
        <f t="shared" si="4"/>
        <v>514</v>
      </c>
      <c r="G16" s="32">
        <f t="shared" si="5"/>
        <v>430</v>
      </c>
      <c r="H16" s="32">
        <f t="shared" si="6"/>
        <v>819</v>
      </c>
      <c r="I16" s="32">
        <f t="shared" si="7"/>
        <v>450</v>
      </c>
      <c r="J16" s="32">
        <f t="shared" si="8"/>
        <v>1287</v>
      </c>
      <c r="K16" s="32">
        <f t="shared" si="9"/>
        <v>676</v>
      </c>
      <c r="L16" s="32">
        <f t="shared" si="14"/>
        <v>2054</v>
      </c>
      <c r="M16" s="32">
        <f t="shared" si="10"/>
        <v>994</v>
      </c>
      <c r="N16" s="32">
        <v>-34</v>
      </c>
      <c r="O16" s="32">
        <f>863</f>
        <v>863</v>
      </c>
      <c r="P16" s="32">
        <f>-761</f>
        <v>-761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85</v>
      </c>
      <c r="Y16" s="32">
        <v>381</v>
      </c>
      <c r="Z16" s="32">
        <v>30</v>
      </c>
      <c r="AA16" s="32">
        <v>484</v>
      </c>
      <c r="AB16" s="32">
        <v>290</v>
      </c>
      <c r="AC16" s="32">
        <v>140</v>
      </c>
      <c r="AD16" s="32">
        <v>170</v>
      </c>
      <c r="AE16" s="32">
        <v>649</v>
      </c>
      <c r="AF16" s="32">
        <v>1524</v>
      </c>
      <c r="AG16" s="32">
        <v>-1074</v>
      </c>
      <c r="AH16" s="32">
        <v>458</v>
      </c>
      <c r="AI16" s="32">
        <v>829</v>
      </c>
      <c r="AJ16" s="32">
        <v>319</v>
      </c>
      <c r="AK16" s="32">
        <v>357</v>
      </c>
      <c r="AL16" s="32">
        <v>1803</v>
      </c>
      <c r="AM16" s="32">
        <v>251</v>
      </c>
      <c r="AN16" s="32">
        <v>-842</v>
      </c>
      <c r="AO16" s="32">
        <v>1836</v>
      </c>
      <c r="AP16" s="32">
        <v>124</v>
      </c>
      <c r="AQ16" s="32">
        <f t="shared" si="11"/>
        <v>-158</v>
      </c>
      <c r="AR16" s="32">
        <f>1374</f>
        <v>1374</v>
      </c>
      <c r="AS16" s="32">
        <f t="shared" si="12"/>
        <v>-511</v>
      </c>
      <c r="AT16" s="32">
        <f>-2409</f>
        <v>-2409</v>
      </c>
      <c r="AU16" s="32">
        <f t="shared" si="13"/>
        <v>1648</v>
      </c>
    </row>
    <row r="17" spans="1:48" x14ac:dyDescent="0.2">
      <c r="A17" s="5" t="s">
        <v>305</v>
      </c>
      <c r="B17" s="32">
        <f t="shared" si="0"/>
        <v>0</v>
      </c>
      <c r="C17" s="32">
        <f t="shared" si="1"/>
        <v>0</v>
      </c>
      <c r="D17" s="32">
        <f t="shared" si="2"/>
        <v>0</v>
      </c>
      <c r="E17" s="32">
        <f t="shared" si="3"/>
        <v>0</v>
      </c>
      <c r="F17" s="32">
        <f t="shared" si="4"/>
        <v>0</v>
      </c>
      <c r="G17" s="32">
        <f t="shared" si="5"/>
        <v>0</v>
      </c>
      <c r="H17" s="32">
        <f t="shared" si="6"/>
        <v>673</v>
      </c>
      <c r="I17" s="32">
        <f t="shared" si="7"/>
        <v>900</v>
      </c>
      <c r="J17" s="32">
        <f t="shared" si="8"/>
        <v>578</v>
      </c>
      <c r="K17" s="32">
        <f t="shared" si="9"/>
        <v>418</v>
      </c>
      <c r="L17" s="32">
        <f t="shared" si="14"/>
        <v>327</v>
      </c>
      <c r="M17" s="32">
        <f t="shared" si="10"/>
        <v>898</v>
      </c>
      <c r="N17" s="32">
        <v>829</v>
      </c>
      <c r="O17" s="32">
        <f>547</f>
        <v>547</v>
      </c>
      <c r="P17" s="32">
        <f>254</f>
        <v>254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244</v>
      </c>
      <c r="AE17" s="32">
        <v>429</v>
      </c>
      <c r="AF17" s="32">
        <v>212</v>
      </c>
      <c r="AG17" s="32">
        <v>688</v>
      </c>
      <c r="AH17" s="32">
        <v>180</v>
      </c>
      <c r="AI17" s="32">
        <v>398</v>
      </c>
      <c r="AJ17" s="32">
        <v>126</v>
      </c>
      <c r="AK17" s="32">
        <v>292</v>
      </c>
      <c r="AL17" s="32">
        <v>135</v>
      </c>
      <c r="AM17" s="32">
        <v>192</v>
      </c>
      <c r="AN17" s="32">
        <v>75</v>
      </c>
      <c r="AO17" s="32">
        <v>823</v>
      </c>
      <c r="AP17" s="32">
        <v>633</v>
      </c>
      <c r="AQ17" s="32">
        <f t="shared" si="11"/>
        <v>196</v>
      </c>
      <c r="AR17" s="32">
        <f>244</f>
        <v>244</v>
      </c>
      <c r="AS17" s="32">
        <f t="shared" si="12"/>
        <v>303</v>
      </c>
      <c r="AT17" s="32">
        <f>153</f>
        <v>153</v>
      </c>
      <c r="AU17" s="32">
        <f t="shared" si="13"/>
        <v>101</v>
      </c>
    </row>
    <row r="18" spans="1:48" x14ac:dyDescent="0.2">
      <c r="A18" s="5" t="s">
        <v>204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f t="shared" si="14"/>
        <v>16</v>
      </c>
      <c r="M18" s="32">
        <f t="shared" si="10"/>
        <v>37</v>
      </c>
      <c r="N18" s="32">
        <v>-66</v>
      </c>
      <c r="O18" s="32">
        <f>4991</f>
        <v>4991</v>
      </c>
      <c r="P18" s="32">
        <f>1963</f>
        <v>1963</v>
      </c>
      <c r="Q18" s="32"/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16</v>
      </c>
      <c r="AN18" s="32">
        <v>38</v>
      </c>
      <c r="AO18" s="32">
        <v>-1</v>
      </c>
      <c r="AP18" s="32">
        <v>-17</v>
      </c>
      <c r="AQ18" s="32">
        <f t="shared" si="11"/>
        <v>-49</v>
      </c>
      <c r="AR18" s="32">
        <f>1470</f>
        <v>1470</v>
      </c>
      <c r="AS18" s="32">
        <f t="shared" si="12"/>
        <v>3521</v>
      </c>
      <c r="AT18" s="32">
        <f>504</f>
        <v>504</v>
      </c>
      <c r="AU18" s="32">
        <f t="shared" si="13"/>
        <v>1459</v>
      </c>
    </row>
    <row r="19" spans="1:48" x14ac:dyDescent="0.2">
      <c r="A19" s="5" t="s">
        <v>205</v>
      </c>
      <c r="B19" s="32">
        <f t="shared" si="0"/>
        <v>0</v>
      </c>
      <c r="C19" s="32">
        <f t="shared" si="1"/>
        <v>0</v>
      </c>
      <c r="D19" s="32">
        <f t="shared" si="2"/>
        <v>0</v>
      </c>
      <c r="E19" s="32">
        <f t="shared" si="3"/>
        <v>0</v>
      </c>
      <c r="F19" s="32">
        <f t="shared" si="4"/>
        <v>0</v>
      </c>
      <c r="G19" s="32">
        <f t="shared" si="5"/>
        <v>0</v>
      </c>
      <c r="H19" s="32">
        <f t="shared" si="6"/>
        <v>221</v>
      </c>
      <c r="I19" s="32">
        <f t="shared" si="7"/>
        <v>846</v>
      </c>
      <c r="J19" s="32">
        <f t="shared" si="8"/>
        <v>0</v>
      </c>
      <c r="K19" s="32">
        <f t="shared" si="9"/>
        <v>0</v>
      </c>
      <c r="L19" s="32">
        <f t="shared" si="14"/>
        <v>0</v>
      </c>
      <c r="M19" s="32">
        <f t="shared" si="10"/>
        <v>0</v>
      </c>
      <c r="N19" s="32">
        <f t="shared" si="10"/>
        <v>0</v>
      </c>
      <c r="O19" s="32">
        <f>0</f>
        <v>0</v>
      </c>
      <c r="P19" s="32">
        <f>0</f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221</v>
      </c>
      <c r="AF19" s="32">
        <v>846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f t="shared" si="11"/>
        <v>0</v>
      </c>
      <c r="AR19" s="32">
        <f>0</f>
        <v>0</v>
      </c>
      <c r="AS19" s="32">
        <f t="shared" si="12"/>
        <v>0</v>
      </c>
      <c r="AT19" s="32">
        <f>0</f>
        <v>0</v>
      </c>
      <c r="AU19" s="32">
        <f t="shared" si="13"/>
        <v>0</v>
      </c>
    </row>
    <row r="20" spans="1:48" x14ac:dyDescent="0.2">
      <c r="A20" s="5" t="s">
        <v>206</v>
      </c>
      <c r="B20" s="32">
        <f t="shared" si="0"/>
        <v>1</v>
      </c>
      <c r="C20" s="32">
        <f t="shared" si="1"/>
        <v>28</v>
      </c>
      <c r="D20" s="32">
        <f t="shared" si="2"/>
        <v>0</v>
      </c>
      <c r="E20" s="32">
        <f t="shared" si="3"/>
        <v>0</v>
      </c>
      <c r="F20" s="32">
        <f t="shared" si="4"/>
        <v>0</v>
      </c>
      <c r="G20" s="32">
        <f t="shared" si="5"/>
        <v>0</v>
      </c>
      <c r="H20" s="32">
        <f t="shared" si="6"/>
        <v>0</v>
      </c>
      <c r="I20" s="32">
        <f t="shared" si="7"/>
        <v>0</v>
      </c>
      <c r="J20" s="32">
        <f t="shared" si="8"/>
        <v>-87</v>
      </c>
      <c r="K20" s="32">
        <f t="shared" si="9"/>
        <v>0</v>
      </c>
      <c r="L20" s="32">
        <f t="shared" si="14"/>
        <v>7</v>
      </c>
      <c r="M20" s="32">
        <f t="shared" si="10"/>
        <v>2</v>
      </c>
      <c r="N20" s="32">
        <v>-14</v>
      </c>
      <c r="O20" s="32">
        <f>65</f>
        <v>65</v>
      </c>
      <c r="P20" s="32">
        <f>113</f>
        <v>113</v>
      </c>
      <c r="R20" s="32">
        <v>1</v>
      </c>
      <c r="S20" s="32">
        <v>0</v>
      </c>
      <c r="T20" s="32">
        <v>0</v>
      </c>
      <c r="U20" s="32">
        <v>28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-87</v>
      </c>
      <c r="AJ20" s="32">
        <v>0</v>
      </c>
      <c r="AK20" s="32">
        <v>0</v>
      </c>
      <c r="AL20" s="32">
        <v>20</v>
      </c>
      <c r="AM20" s="32">
        <v>-13</v>
      </c>
      <c r="AN20" s="32">
        <v>0</v>
      </c>
      <c r="AO20" s="32">
        <v>2</v>
      </c>
      <c r="AP20" s="32">
        <v>0</v>
      </c>
      <c r="AQ20" s="32">
        <f t="shared" si="11"/>
        <v>-14</v>
      </c>
      <c r="AR20" s="32">
        <f>0</f>
        <v>0</v>
      </c>
      <c r="AS20" s="32">
        <f t="shared" si="12"/>
        <v>65</v>
      </c>
      <c r="AT20" s="32">
        <f>0</f>
        <v>0</v>
      </c>
      <c r="AU20" s="32">
        <f t="shared" si="13"/>
        <v>113</v>
      </c>
    </row>
    <row r="21" spans="1:48" x14ac:dyDescent="0.2">
      <c r="A21" s="5" t="s">
        <v>208</v>
      </c>
      <c r="B21" s="32">
        <f t="shared" si="0"/>
        <v>-24</v>
      </c>
      <c r="C21" s="32">
        <f t="shared" si="1"/>
        <v>0</v>
      </c>
      <c r="D21" s="32">
        <f t="shared" si="2"/>
        <v>0</v>
      </c>
      <c r="E21" s="32">
        <f t="shared" si="3"/>
        <v>0</v>
      </c>
      <c r="F21" s="32">
        <f t="shared" si="4"/>
        <v>0</v>
      </c>
      <c r="G21" s="32">
        <f t="shared" si="5"/>
        <v>0</v>
      </c>
      <c r="H21" s="32">
        <f t="shared" si="6"/>
        <v>0</v>
      </c>
      <c r="I21" s="32">
        <f t="shared" si="7"/>
        <v>0</v>
      </c>
      <c r="J21" s="32">
        <f t="shared" si="8"/>
        <v>0</v>
      </c>
      <c r="K21" s="32">
        <f t="shared" si="9"/>
        <v>0</v>
      </c>
      <c r="L21" s="32">
        <f t="shared" si="14"/>
        <v>0</v>
      </c>
      <c r="M21" s="32">
        <f t="shared" si="10"/>
        <v>0</v>
      </c>
      <c r="N21" s="32">
        <f t="shared" si="10"/>
        <v>0</v>
      </c>
      <c r="O21" s="32">
        <f>0</f>
        <v>0</v>
      </c>
      <c r="P21" s="32">
        <f>0</f>
        <v>0</v>
      </c>
      <c r="R21" s="32">
        <v>-24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f t="shared" si="11"/>
        <v>0</v>
      </c>
      <c r="AR21" s="32">
        <f>0</f>
        <v>0</v>
      </c>
      <c r="AS21" s="32">
        <f t="shared" si="12"/>
        <v>0</v>
      </c>
      <c r="AT21" s="32">
        <f>0</f>
        <v>0</v>
      </c>
      <c r="AU21" s="32">
        <f t="shared" si="13"/>
        <v>0</v>
      </c>
    </row>
    <row r="22" spans="1:48" x14ac:dyDescent="0.2">
      <c r="A22" s="5" t="s">
        <v>209</v>
      </c>
      <c r="B22" s="32">
        <f t="shared" ref="B22" si="15">SUM(R22:S22)</f>
        <v>0</v>
      </c>
      <c r="C22" s="32">
        <f t="shared" ref="C22" si="16">SUM(T22:U22)</f>
        <v>0</v>
      </c>
      <c r="D22" s="32">
        <f t="shared" ref="D22" si="17">SUM(V22:W22)</f>
        <v>0</v>
      </c>
      <c r="E22" s="32">
        <f t="shared" ref="E22" si="18">SUM(X22:Y22)</f>
        <v>0</v>
      </c>
      <c r="F22" s="32">
        <f t="shared" ref="F22" si="19">SUM(Z22:AA22)</f>
        <v>0</v>
      </c>
      <c r="G22" s="32">
        <f t="shared" ref="G22" si="20">SUM(AB22:AC22)</f>
        <v>0</v>
      </c>
      <c r="H22" s="32">
        <f t="shared" ref="H22" si="21">SUM(AD22:AE22)</f>
        <v>0</v>
      </c>
      <c r="I22" s="32">
        <f t="shared" ref="I22" si="22">SUM(AF22:AG22)</f>
        <v>0</v>
      </c>
      <c r="J22" s="32">
        <f t="shared" ref="J22" si="23">SUM(AH22:AI22)</f>
        <v>0</v>
      </c>
      <c r="K22" s="32">
        <f t="shared" ref="K22" si="24">SUM(AJ22:AK22)</f>
        <v>0</v>
      </c>
      <c r="L22" s="32">
        <f t="shared" ref="L22" si="25">SUM(AL22:AM22)</f>
        <v>0</v>
      </c>
      <c r="M22" s="32">
        <f t="shared" ref="M22" si="26">SUM(AN22:AO22)</f>
        <v>0</v>
      </c>
      <c r="N22" s="32">
        <v>2535</v>
      </c>
      <c r="O22" s="32">
        <f>484</f>
        <v>484</v>
      </c>
      <c r="P22" s="32">
        <f>993</f>
        <v>993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612</v>
      </c>
      <c r="AQ22" s="32">
        <f t="shared" si="11"/>
        <v>1923</v>
      </c>
      <c r="AR22" s="32">
        <f>-3</f>
        <v>-3</v>
      </c>
      <c r="AS22" s="32">
        <f t="shared" si="12"/>
        <v>487</v>
      </c>
      <c r="AT22" s="32">
        <f>279</f>
        <v>279</v>
      </c>
      <c r="AU22" s="32">
        <f t="shared" si="13"/>
        <v>714</v>
      </c>
    </row>
    <row r="23" spans="1:48" x14ac:dyDescent="0.2">
      <c r="A23" s="5" t="s">
        <v>291</v>
      </c>
      <c r="B23" s="32">
        <f>0</f>
        <v>0</v>
      </c>
      <c r="C23" s="32">
        <f>0</f>
        <v>0</v>
      </c>
      <c r="D23" s="32">
        <f>0</f>
        <v>0</v>
      </c>
      <c r="E23" s="32">
        <f>0</f>
        <v>0</v>
      </c>
      <c r="F23" s="32">
        <f>0</f>
        <v>0</v>
      </c>
      <c r="G23" s="32">
        <f>0</f>
        <v>0</v>
      </c>
      <c r="H23" s="32">
        <f>0</f>
        <v>0</v>
      </c>
      <c r="I23" s="32">
        <f>0</f>
        <v>0</v>
      </c>
      <c r="J23" s="32">
        <f>0</f>
        <v>0</v>
      </c>
      <c r="K23" s="32">
        <f>0</f>
        <v>0</v>
      </c>
      <c r="L23" s="32">
        <f>0</f>
        <v>0</v>
      </c>
      <c r="M23" s="32">
        <f>0</f>
        <v>0</v>
      </c>
      <c r="N23" s="32">
        <f>0</f>
        <v>0</v>
      </c>
      <c r="O23" s="32">
        <f>-420</f>
        <v>-420</v>
      </c>
      <c r="P23" s="32">
        <f>-49</f>
        <v>-49</v>
      </c>
      <c r="R23" s="32">
        <f>0</f>
        <v>0</v>
      </c>
      <c r="S23" s="32">
        <f>0</f>
        <v>0</v>
      </c>
      <c r="T23" s="32">
        <f>0</f>
        <v>0</v>
      </c>
      <c r="U23" s="32">
        <f>0</f>
        <v>0</v>
      </c>
      <c r="V23" s="32">
        <f>0</f>
        <v>0</v>
      </c>
      <c r="W23" s="32">
        <f>0</f>
        <v>0</v>
      </c>
      <c r="X23" s="32">
        <f>0</f>
        <v>0</v>
      </c>
      <c r="Y23" s="32">
        <f>0</f>
        <v>0</v>
      </c>
      <c r="Z23" s="32">
        <f>0</f>
        <v>0</v>
      </c>
      <c r="AA23" s="32">
        <f>0</f>
        <v>0</v>
      </c>
      <c r="AB23" s="32">
        <f>0</f>
        <v>0</v>
      </c>
      <c r="AC23" s="32">
        <f>0</f>
        <v>0</v>
      </c>
      <c r="AD23" s="32">
        <f>0</f>
        <v>0</v>
      </c>
      <c r="AE23" s="32">
        <f>0</f>
        <v>0</v>
      </c>
      <c r="AF23" s="32">
        <f>0</f>
        <v>0</v>
      </c>
      <c r="AG23" s="32">
        <f>0</f>
        <v>0</v>
      </c>
      <c r="AH23" s="32">
        <f>0</f>
        <v>0</v>
      </c>
      <c r="AI23" s="32">
        <f>0</f>
        <v>0</v>
      </c>
      <c r="AJ23" s="32">
        <f>0</f>
        <v>0</v>
      </c>
      <c r="AK23" s="32">
        <f>0</f>
        <v>0</v>
      </c>
      <c r="AL23" s="32">
        <f>0</f>
        <v>0</v>
      </c>
      <c r="AM23" s="32">
        <f>0</f>
        <v>0</v>
      </c>
      <c r="AN23" s="32">
        <f>0</f>
        <v>0</v>
      </c>
      <c r="AO23" s="32">
        <f>0</f>
        <v>0</v>
      </c>
      <c r="AP23" s="32">
        <f>0</f>
        <v>0</v>
      </c>
      <c r="AQ23" s="32">
        <f>0</f>
        <v>0</v>
      </c>
      <c r="AR23" s="32">
        <f>0</f>
        <v>0</v>
      </c>
      <c r="AS23" s="32">
        <f t="shared" si="12"/>
        <v>-420</v>
      </c>
      <c r="AT23" s="32">
        <f>-43</f>
        <v>-43</v>
      </c>
      <c r="AU23" s="32">
        <f t="shared" si="13"/>
        <v>-6</v>
      </c>
    </row>
    <row r="24" spans="1:48" x14ac:dyDescent="0.2">
      <c r="A24" s="5" t="s">
        <v>308</v>
      </c>
      <c r="B24" s="32">
        <f>0</f>
        <v>0</v>
      </c>
      <c r="C24" s="32">
        <f>0</f>
        <v>0</v>
      </c>
      <c r="D24" s="32">
        <f>0</f>
        <v>0</v>
      </c>
      <c r="E24" s="32">
        <f>0</f>
        <v>0</v>
      </c>
      <c r="F24" s="32">
        <f>0</f>
        <v>0</v>
      </c>
      <c r="G24" s="32">
        <f>0</f>
        <v>0</v>
      </c>
      <c r="H24" s="32">
        <f>0</f>
        <v>0</v>
      </c>
      <c r="I24" s="32">
        <f>0</f>
        <v>0</v>
      </c>
      <c r="J24" s="32">
        <f>0</f>
        <v>0</v>
      </c>
      <c r="K24" s="32">
        <f>0</f>
        <v>0</v>
      </c>
      <c r="L24" s="32">
        <f>0</f>
        <v>0</v>
      </c>
      <c r="M24" s="32">
        <f>0</f>
        <v>0</v>
      </c>
      <c r="N24" s="32">
        <f>0</f>
        <v>0</v>
      </c>
      <c r="O24" s="32">
        <f>0</f>
        <v>0</v>
      </c>
      <c r="P24" s="32">
        <v>403</v>
      </c>
      <c r="R24" s="32">
        <f>0</f>
        <v>0</v>
      </c>
      <c r="S24" s="32">
        <f>0</f>
        <v>0</v>
      </c>
      <c r="T24" s="32">
        <f>0</f>
        <v>0</v>
      </c>
      <c r="U24" s="32">
        <f>0</f>
        <v>0</v>
      </c>
      <c r="V24" s="32">
        <f>0</f>
        <v>0</v>
      </c>
      <c r="W24" s="32">
        <f>0</f>
        <v>0</v>
      </c>
      <c r="X24" s="32">
        <f>0</f>
        <v>0</v>
      </c>
      <c r="Y24" s="32">
        <f>0</f>
        <v>0</v>
      </c>
      <c r="Z24" s="32">
        <f>0</f>
        <v>0</v>
      </c>
      <c r="AA24" s="32">
        <f>0</f>
        <v>0</v>
      </c>
      <c r="AB24" s="32">
        <f>0</f>
        <v>0</v>
      </c>
      <c r="AC24" s="32">
        <f>0</f>
        <v>0</v>
      </c>
      <c r="AD24" s="32">
        <f>0</f>
        <v>0</v>
      </c>
      <c r="AE24" s="32">
        <f>0</f>
        <v>0</v>
      </c>
      <c r="AF24" s="32">
        <f>0</f>
        <v>0</v>
      </c>
      <c r="AG24" s="32">
        <f>0</f>
        <v>0</v>
      </c>
      <c r="AH24" s="32">
        <f>0</f>
        <v>0</v>
      </c>
      <c r="AI24" s="32">
        <f>0</f>
        <v>0</v>
      </c>
      <c r="AJ24" s="32">
        <f>0</f>
        <v>0</v>
      </c>
      <c r="AK24" s="32">
        <f>0</f>
        <v>0</v>
      </c>
      <c r="AL24" s="32">
        <f>0</f>
        <v>0</v>
      </c>
      <c r="AM24" s="32">
        <f>0</f>
        <v>0</v>
      </c>
      <c r="AN24" s="32">
        <f>0</f>
        <v>0</v>
      </c>
      <c r="AO24" s="32">
        <f>0</f>
        <v>0</v>
      </c>
      <c r="AP24" s="32">
        <f>0</f>
        <v>0</v>
      </c>
      <c r="AQ24" s="32">
        <f>0</f>
        <v>0</v>
      </c>
      <c r="AR24" s="32">
        <f>0</f>
        <v>0</v>
      </c>
      <c r="AS24" s="32">
        <f t="shared" si="12"/>
        <v>0</v>
      </c>
      <c r="AT24" s="32">
        <f>-24</f>
        <v>-24</v>
      </c>
      <c r="AU24" s="32">
        <f t="shared" si="13"/>
        <v>427</v>
      </c>
    </row>
    <row r="25" spans="1:48" x14ac:dyDescent="0.2">
      <c r="A25" s="5" t="s">
        <v>207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>
        <f t="shared" si="10"/>
        <v>-135</v>
      </c>
      <c r="N25" s="32">
        <v>0</v>
      </c>
      <c r="O25" s="32">
        <f>0</f>
        <v>0</v>
      </c>
      <c r="P25" s="32">
        <f>0</f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-135</v>
      </c>
      <c r="AP25" s="32">
        <v>0</v>
      </c>
      <c r="AQ25" s="32">
        <f t="shared" si="11"/>
        <v>0</v>
      </c>
      <c r="AR25" s="32">
        <f>0</f>
        <v>0</v>
      </c>
      <c r="AS25" s="32">
        <f t="shared" si="12"/>
        <v>0</v>
      </c>
      <c r="AT25" s="32">
        <f>0</f>
        <v>0</v>
      </c>
      <c r="AU25" s="32">
        <f t="shared" si="13"/>
        <v>0</v>
      </c>
    </row>
    <row r="26" spans="1:48" x14ac:dyDescent="0.2">
      <c r="A26" s="5" t="s">
        <v>124</v>
      </c>
      <c r="B26" s="32">
        <f t="shared" si="0"/>
        <v>0</v>
      </c>
      <c r="C26" s="32">
        <f t="shared" si="1"/>
        <v>0</v>
      </c>
      <c r="D26" s="32">
        <f t="shared" si="2"/>
        <v>0</v>
      </c>
      <c r="E26" s="32">
        <f t="shared" si="3"/>
        <v>0</v>
      </c>
      <c r="F26" s="32">
        <f t="shared" si="4"/>
        <v>0</v>
      </c>
      <c r="G26" s="32">
        <f t="shared" si="5"/>
        <v>0</v>
      </c>
      <c r="H26" s="32">
        <f t="shared" si="6"/>
        <v>0</v>
      </c>
      <c r="I26" s="32">
        <f t="shared" si="7"/>
        <v>0</v>
      </c>
      <c r="J26" s="32">
        <f t="shared" si="8"/>
        <v>-729</v>
      </c>
      <c r="K26" s="32">
        <f t="shared" si="9"/>
        <v>0</v>
      </c>
      <c r="L26" s="32">
        <f t="shared" si="14"/>
        <v>0</v>
      </c>
      <c r="M26" s="32">
        <f t="shared" si="10"/>
        <v>-12038</v>
      </c>
      <c r="N26" s="32">
        <f t="shared" si="10"/>
        <v>0</v>
      </c>
      <c r="O26" s="32">
        <f>0</f>
        <v>0</v>
      </c>
      <c r="P26" s="32">
        <f>0</f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-729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-12038</v>
      </c>
      <c r="AO26" s="32">
        <v>0</v>
      </c>
      <c r="AP26" s="32">
        <v>0</v>
      </c>
      <c r="AQ26" s="32">
        <f t="shared" si="11"/>
        <v>0</v>
      </c>
      <c r="AR26" s="32">
        <f>0</f>
        <v>0</v>
      </c>
      <c r="AS26" s="32">
        <f t="shared" si="12"/>
        <v>0</v>
      </c>
      <c r="AT26" s="32">
        <f>0</f>
        <v>0</v>
      </c>
      <c r="AU26" s="32">
        <f t="shared" si="13"/>
        <v>0</v>
      </c>
    </row>
    <row r="27" spans="1:48" x14ac:dyDescent="0.2">
      <c r="A27" s="5" t="s">
        <v>210</v>
      </c>
      <c r="B27" s="32">
        <f t="shared" si="0"/>
        <v>0</v>
      </c>
      <c r="C27" s="32">
        <f t="shared" si="1"/>
        <v>0</v>
      </c>
      <c r="D27" s="32">
        <f t="shared" si="2"/>
        <v>0</v>
      </c>
      <c r="E27" s="32">
        <f t="shared" si="3"/>
        <v>0</v>
      </c>
      <c r="F27" s="32">
        <f t="shared" si="4"/>
        <v>0</v>
      </c>
      <c r="G27" s="32">
        <f t="shared" si="5"/>
        <v>0</v>
      </c>
      <c r="H27" s="32">
        <f t="shared" si="6"/>
        <v>0</v>
      </c>
      <c r="I27" s="32">
        <f t="shared" si="7"/>
        <v>0</v>
      </c>
      <c r="J27" s="32">
        <f t="shared" si="8"/>
        <v>-1703</v>
      </c>
      <c r="K27" s="32">
        <f t="shared" si="9"/>
        <v>-1210</v>
      </c>
      <c r="L27" s="32">
        <f t="shared" si="14"/>
        <v>-3003</v>
      </c>
      <c r="M27" s="32">
        <f t="shared" si="10"/>
        <v>-324</v>
      </c>
      <c r="N27" s="32">
        <v>-157</v>
      </c>
      <c r="O27" s="32">
        <f>-1</f>
        <v>-1</v>
      </c>
      <c r="P27" s="32">
        <f>-1</f>
        <v>-1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-1703</v>
      </c>
      <c r="AJ27" s="32">
        <v>0</v>
      </c>
      <c r="AK27" s="32">
        <v>-1210</v>
      </c>
      <c r="AL27" s="32">
        <v>-2759</v>
      </c>
      <c r="AM27" s="32">
        <v>-244</v>
      </c>
      <c r="AN27" s="32">
        <v>-121</v>
      </c>
      <c r="AO27" s="32">
        <v>-203</v>
      </c>
      <c r="AP27" s="32">
        <v>-87</v>
      </c>
      <c r="AQ27" s="32">
        <f t="shared" si="11"/>
        <v>-70</v>
      </c>
      <c r="AR27" s="32">
        <f>0</f>
        <v>0</v>
      </c>
      <c r="AS27" s="32">
        <f t="shared" si="12"/>
        <v>-1</v>
      </c>
      <c r="AT27" s="32">
        <f>0</f>
        <v>0</v>
      </c>
      <c r="AU27" s="32">
        <f t="shared" si="13"/>
        <v>-1</v>
      </c>
    </row>
    <row r="28" spans="1:48" x14ac:dyDescent="0.2">
      <c r="A28" s="5" t="s">
        <v>211</v>
      </c>
      <c r="B28" s="32">
        <f t="shared" si="0"/>
        <v>0</v>
      </c>
      <c r="C28" s="32">
        <f t="shared" si="1"/>
        <v>0</v>
      </c>
      <c r="D28" s="32">
        <f t="shared" si="2"/>
        <v>0</v>
      </c>
      <c r="E28" s="32">
        <f t="shared" si="3"/>
        <v>0</v>
      </c>
      <c r="F28" s="32">
        <f t="shared" si="4"/>
        <v>0</v>
      </c>
      <c r="G28" s="32">
        <f t="shared" si="5"/>
        <v>0</v>
      </c>
      <c r="H28" s="32">
        <f t="shared" si="6"/>
        <v>0</v>
      </c>
      <c r="I28" s="32">
        <f t="shared" si="7"/>
        <v>0</v>
      </c>
      <c r="J28" s="32">
        <f t="shared" si="8"/>
        <v>0</v>
      </c>
      <c r="K28" s="32">
        <f t="shared" si="9"/>
        <v>-448</v>
      </c>
      <c r="L28" s="32">
        <f t="shared" si="14"/>
        <v>-1197</v>
      </c>
      <c r="M28" s="32">
        <f t="shared" si="10"/>
        <v>-2715</v>
      </c>
      <c r="N28" s="32">
        <v>-4697</v>
      </c>
      <c r="O28" s="32">
        <f>-12499</f>
        <v>-12499</v>
      </c>
      <c r="P28" s="32">
        <f>-17772</f>
        <v>-17772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-448</v>
      </c>
      <c r="AL28" s="32">
        <v>-423</v>
      </c>
      <c r="AM28" s="32">
        <v>-774</v>
      </c>
      <c r="AN28" s="32">
        <v>-802</v>
      </c>
      <c r="AO28" s="32">
        <v>-1913</v>
      </c>
      <c r="AP28" s="32">
        <v>-1119</v>
      </c>
      <c r="AQ28" s="32">
        <f t="shared" si="11"/>
        <v>-3578</v>
      </c>
      <c r="AR28" s="32">
        <f>-3207</f>
        <v>-3207</v>
      </c>
      <c r="AS28" s="32">
        <f t="shared" si="12"/>
        <v>-9292</v>
      </c>
      <c r="AT28" s="32">
        <f>-7818</f>
        <v>-7818</v>
      </c>
      <c r="AU28" s="32">
        <f t="shared" si="13"/>
        <v>-9954</v>
      </c>
    </row>
    <row r="29" spans="1:48" x14ac:dyDescent="0.2">
      <c r="A29" s="5" t="s">
        <v>212</v>
      </c>
      <c r="B29" s="32">
        <f t="shared" si="0"/>
        <v>-1425</v>
      </c>
      <c r="C29" s="32">
        <f t="shared" si="1"/>
        <v>-544</v>
      </c>
      <c r="D29" s="32">
        <f t="shared" si="2"/>
        <v>-337</v>
      </c>
      <c r="E29" s="32">
        <f t="shared" si="3"/>
        <v>-1164</v>
      </c>
      <c r="F29" s="32">
        <f t="shared" si="4"/>
        <v>-1182</v>
      </c>
      <c r="G29" s="32">
        <f t="shared" si="5"/>
        <v>-1538</v>
      </c>
      <c r="H29" s="32">
        <f t="shared" si="6"/>
        <v>-705</v>
      </c>
      <c r="I29" s="32">
        <f t="shared" si="7"/>
        <v>2781</v>
      </c>
      <c r="J29" s="32">
        <f t="shared" si="8"/>
        <v>4713</v>
      </c>
      <c r="K29" s="32">
        <f t="shared" si="9"/>
        <v>5496</v>
      </c>
      <c r="L29" s="32">
        <f t="shared" si="14"/>
        <v>7381</v>
      </c>
      <c r="M29" s="32">
        <f t="shared" si="10"/>
        <v>9131</v>
      </c>
      <c r="N29" s="32">
        <v>12961</v>
      </c>
      <c r="O29" s="32">
        <f>25823</f>
        <v>25823</v>
      </c>
      <c r="P29" s="32">
        <f>48402</f>
        <v>48402</v>
      </c>
      <c r="R29" s="32">
        <v>-212</v>
      </c>
      <c r="S29" s="32">
        <v>-1213</v>
      </c>
      <c r="T29" s="32">
        <v>-237</v>
      </c>
      <c r="U29" s="32">
        <v>-307</v>
      </c>
      <c r="V29" s="32">
        <v>-319</v>
      </c>
      <c r="W29" s="32">
        <v>-18</v>
      </c>
      <c r="X29" s="32">
        <v>-149</v>
      </c>
      <c r="Y29" s="32">
        <v>-1015</v>
      </c>
      <c r="Z29" s="32">
        <v>-405</v>
      </c>
      <c r="AA29" s="32">
        <v>-777</v>
      </c>
      <c r="AB29" s="32">
        <v>-739</v>
      </c>
      <c r="AC29" s="32">
        <v>-799</v>
      </c>
      <c r="AD29" s="32">
        <v>-346</v>
      </c>
      <c r="AE29" s="32">
        <v>-359</v>
      </c>
      <c r="AF29" s="32">
        <v>1088</v>
      </c>
      <c r="AG29" s="32">
        <v>1693</v>
      </c>
      <c r="AH29" s="32">
        <v>2113</v>
      </c>
      <c r="AI29" s="32">
        <v>2600</v>
      </c>
      <c r="AJ29" s="32">
        <v>2891</v>
      </c>
      <c r="AK29" s="32">
        <v>2605</v>
      </c>
      <c r="AL29" s="32">
        <v>3705</v>
      </c>
      <c r="AM29" s="32">
        <v>3676</v>
      </c>
      <c r="AN29" s="32">
        <v>4270</v>
      </c>
      <c r="AO29" s="32">
        <v>4861</v>
      </c>
      <c r="AP29" s="32">
        <v>5627</v>
      </c>
      <c r="AQ29" s="32">
        <f t="shared" si="11"/>
        <v>7334</v>
      </c>
      <c r="AR29" s="32">
        <f>9746</f>
        <v>9746</v>
      </c>
      <c r="AS29" s="32">
        <f t="shared" si="12"/>
        <v>16077</v>
      </c>
      <c r="AT29" s="32">
        <f>25087</f>
        <v>25087</v>
      </c>
      <c r="AU29" s="32">
        <f t="shared" si="13"/>
        <v>23315</v>
      </c>
    </row>
    <row r="30" spans="1:48" x14ac:dyDescent="0.2">
      <c r="A30" s="5" t="s">
        <v>306</v>
      </c>
      <c r="B30" s="32">
        <f t="shared" si="0"/>
        <v>1585</v>
      </c>
      <c r="C30" s="32">
        <f t="shared" si="1"/>
        <v>1526</v>
      </c>
      <c r="D30" s="32">
        <f t="shared" si="2"/>
        <v>1833</v>
      </c>
      <c r="E30" s="32">
        <f t="shared" si="3"/>
        <v>2026</v>
      </c>
      <c r="F30" s="32">
        <f t="shared" si="4"/>
        <v>2002</v>
      </c>
      <c r="G30" s="32">
        <f t="shared" si="5"/>
        <v>1654</v>
      </c>
      <c r="H30" s="32">
        <f t="shared" si="6"/>
        <v>2524</v>
      </c>
      <c r="I30" s="32">
        <f t="shared" si="7"/>
        <v>1123</v>
      </c>
      <c r="J30" s="32">
        <f t="shared" si="8"/>
        <v>1585</v>
      </c>
      <c r="K30" s="32">
        <f t="shared" si="9"/>
        <v>2686</v>
      </c>
      <c r="L30" s="32">
        <f t="shared" si="14"/>
        <v>2842</v>
      </c>
      <c r="M30" s="32">
        <f t="shared" si="10"/>
        <v>2886</v>
      </c>
      <c r="N30" s="32">
        <v>2416</v>
      </c>
      <c r="O30" s="32">
        <f>-179</f>
        <v>-179</v>
      </c>
      <c r="P30" s="32">
        <v>-2633</v>
      </c>
      <c r="R30" s="32">
        <v>804</v>
      </c>
      <c r="S30" s="32">
        <v>781</v>
      </c>
      <c r="T30" s="32">
        <v>651</v>
      </c>
      <c r="U30" s="32">
        <v>875</v>
      </c>
      <c r="V30" s="32">
        <v>822</v>
      </c>
      <c r="W30" s="32">
        <v>1011</v>
      </c>
      <c r="X30" s="32">
        <v>302</v>
      </c>
      <c r="Y30" s="32">
        <v>1724</v>
      </c>
      <c r="Z30" s="32">
        <v>795</v>
      </c>
      <c r="AA30" s="32">
        <v>1207</v>
      </c>
      <c r="AB30" s="32">
        <v>117</v>
      </c>
      <c r="AC30" s="32">
        <v>1537</v>
      </c>
      <c r="AD30" s="32">
        <v>754</v>
      </c>
      <c r="AE30" s="32">
        <v>1770</v>
      </c>
      <c r="AF30" s="32">
        <v>-369</v>
      </c>
      <c r="AG30" s="32">
        <v>1492</v>
      </c>
      <c r="AH30" s="32">
        <v>857</v>
      </c>
      <c r="AI30" s="32">
        <v>728</v>
      </c>
      <c r="AJ30" s="32">
        <v>1082</v>
      </c>
      <c r="AK30" s="32">
        <v>1604</v>
      </c>
      <c r="AL30" s="32">
        <v>1461</v>
      </c>
      <c r="AM30" s="32">
        <v>1381</v>
      </c>
      <c r="AN30" s="32">
        <v>1414</v>
      </c>
      <c r="AO30" s="32">
        <v>1472</v>
      </c>
      <c r="AP30" s="32">
        <v>502</v>
      </c>
      <c r="AQ30" s="32">
        <f t="shared" si="11"/>
        <v>1914</v>
      </c>
      <c r="AR30" s="32">
        <f>811</f>
        <v>811</v>
      </c>
      <c r="AS30" s="32">
        <f t="shared" si="12"/>
        <v>-990</v>
      </c>
      <c r="AT30" s="32">
        <f>-1434</f>
        <v>-1434</v>
      </c>
      <c r="AU30" s="32">
        <f t="shared" si="13"/>
        <v>-1199</v>
      </c>
    </row>
    <row r="31" spans="1:48" ht="15" x14ac:dyDescent="0.25">
      <c r="A31" s="70" t="s">
        <v>239</v>
      </c>
      <c r="B31" s="75">
        <f t="shared" si="0"/>
        <v>7750</v>
      </c>
      <c r="C31" s="75">
        <f t="shared" si="1"/>
        <v>6378</v>
      </c>
      <c r="D31" s="75">
        <f t="shared" si="2"/>
        <v>8488</v>
      </c>
      <c r="E31" s="75">
        <f t="shared" si="3"/>
        <v>10342</v>
      </c>
      <c r="F31" s="75">
        <f t="shared" si="4"/>
        <v>7319</v>
      </c>
      <c r="G31" s="75">
        <f t="shared" si="5"/>
        <v>5522</v>
      </c>
      <c r="H31" s="75">
        <f t="shared" si="6"/>
        <v>11625</v>
      </c>
      <c r="I31" s="75">
        <f t="shared" si="7"/>
        <v>5773</v>
      </c>
      <c r="J31" s="75">
        <f t="shared" si="8"/>
        <v>6085</v>
      </c>
      <c r="K31" s="75">
        <f t="shared" si="9"/>
        <v>10181</v>
      </c>
      <c r="L31" s="75">
        <f t="shared" si="14"/>
        <v>11719</v>
      </c>
      <c r="M31" s="75">
        <f t="shared" si="10"/>
        <v>12320</v>
      </c>
      <c r="N31" s="75">
        <v>11070</v>
      </c>
      <c r="O31" s="75">
        <f>13066</f>
        <v>13066</v>
      </c>
      <c r="P31" s="75">
        <v>8709</v>
      </c>
      <c r="Q31" s="37"/>
      <c r="R31" s="75">
        <v>3388</v>
      </c>
      <c r="S31" s="75">
        <v>4362</v>
      </c>
      <c r="T31" s="75">
        <v>2965</v>
      </c>
      <c r="U31" s="75">
        <v>3413</v>
      </c>
      <c r="V31" s="75">
        <v>3742</v>
      </c>
      <c r="W31" s="75">
        <v>4746</v>
      </c>
      <c r="X31" s="75">
        <v>1383</v>
      </c>
      <c r="Y31" s="75">
        <v>8959</v>
      </c>
      <c r="Z31" s="75">
        <v>3012</v>
      </c>
      <c r="AA31" s="75">
        <v>4307</v>
      </c>
      <c r="AB31" s="75">
        <v>1236</v>
      </c>
      <c r="AC31" s="75">
        <v>4286</v>
      </c>
      <c r="AD31" s="75">
        <v>3038</v>
      </c>
      <c r="AE31" s="75">
        <v>8587</v>
      </c>
      <c r="AF31" s="75">
        <v>1496</v>
      </c>
      <c r="AG31" s="75">
        <v>4277</v>
      </c>
      <c r="AH31" s="75">
        <v>3694</v>
      </c>
      <c r="AI31" s="75">
        <v>2391</v>
      </c>
      <c r="AJ31" s="75">
        <v>2984</v>
      </c>
      <c r="AK31" s="75">
        <v>7197</v>
      </c>
      <c r="AL31" s="75">
        <v>5190</v>
      </c>
      <c r="AM31" s="75">
        <v>6529</v>
      </c>
      <c r="AN31" s="75">
        <f>SUM(AN7:AN30)</f>
        <v>3944</v>
      </c>
      <c r="AO31" s="75">
        <v>8376</v>
      </c>
      <c r="AP31" s="75">
        <f>SUM(AP7:AP30)</f>
        <v>4385</v>
      </c>
      <c r="AQ31" s="75">
        <f t="shared" si="11"/>
        <v>6685</v>
      </c>
      <c r="AR31" s="75">
        <f>SUM(AR7:AR30)</f>
        <v>9302</v>
      </c>
      <c r="AS31" s="75">
        <f t="shared" ref="AS31:AT31" si="27">SUM(AS7:AS30)</f>
        <v>3764</v>
      </c>
      <c r="AT31" s="75">
        <f t="shared" si="27"/>
        <v>5748</v>
      </c>
      <c r="AU31" s="75">
        <f t="shared" si="13"/>
        <v>2961</v>
      </c>
      <c r="AV31" s="121"/>
    </row>
    <row r="32" spans="1:48" x14ac:dyDescent="0.2">
      <c r="A32" s="5" t="s">
        <v>240</v>
      </c>
      <c r="B32" s="32">
        <f t="shared" si="0"/>
        <v>-5308</v>
      </c>
      <c r="C32" s="32">
        <f t="shared" si="1"/>
        <v>-7633</v>
      </c>
      <c r="D32" s="32">
        <f t="shared" si="2"/>
        <v>-7837</v>
      </c>
      <c r="E32" s="32">
        <f t="shared" si="3"/>
        <v>-6890</v>
      </c>
      <c r="F32" s="32">
        <f t="shared" si="4"/>
        <v>-8255</v>
      </c>
      <c r="G32" s="32">
        <f t="shared" si="5"/>
        <v>-1780</v>
      </c>
      <c r="H32" s="32">
        <f t="shared" si="6"/>
        <v>-1009</v>
      </c>
      <c r="I32" s="32">
        <f t="shared" si="7"/>
        <v>3582</v>
      </c>
      <c r="J32" s="32">
        <f t="shared" si="8"/>
        <v>12506</v>
      </c>
      <c r="K32" s="32">
        <f t="shared" si="9"/>
        <v>-15619</v>
      </c>
      <c r="L32" s="32">
        <f t="shared" si="14"/>
        <v>3211</v>
      </c>
      <c r="M32" s="32">
        <f t="shared" si="10"/>
        <v>-24897</v>
      </c>
      <c r="N32" s="32">
        <v>-9780</v>
      </c>
      <c r="O32" s="32">
        <f>3224</f>
        <v>3224</v>
      </c>
      <c r="P32" s="32">
        <v>-3361</v>
      </c>
      <c r="R32" s="32">
        <v>-1772</v>
      </c>
      <c r="S32" s="32">
        <v>-3536</v>
      </c>
      <c r="T32" s="32">
        <v>-2082</v>
      </c>
      <c r="U32" s="32">
        <v>-5551</v>
      </c>
      <c r="V32" s="32">
        <v>-1957</v>
      </c>
      <c r="W32" s="32">
        <v>-5880</v>
      </c>
      <c r="X32" s="32">
        <v>-6763</v>
      </c>
      <c r="Y32" s="32">
        <v>-127</v>
      </c>
      <c r="Z32" s="32">
        <v>-2418</v>
      </c>
      <c r="AA32" s="32">
        <v>-5837</v>
      </c>
      <c r="AB32" s="32">
        <v>-502</v>
      </c>
      <c r="AC32" s="32">
        <v>-1278</v>
      </c>
      <c r="AD32" s="32">
        <v>-582</v>
      </c>
      <c r="AE32" s="32">
        <v>-427</v>
      </c>
      <c r="AF32" s="32">
        <v>-4833</v>
      </c>
      <c r="AG32" s="32">
        <v>8415</v>
      </c>
      <c r="AH32" s="32">
        <v>7357</v>
      </c>
      <c r="AI32" s="32">
        <v>5149</v>
      </c>
      <c r="AJ32" s="32">
        <v>2781</v>
      </c>
      <c r="AK32" s="32">
        <v>-18400</v>
      </c>
      <c r="AL32" s="32">
        <v>3242</v>
      </c>
      <c r="AM32" s="32">
        <v>-31</v>
      </c>
      <c r="AN32" s="32">
        <v>-14724</v>
      </c>
      <c r="AO32" s="32">
        <v>-10173</v>
      </c>
      <c r="AP32" s="32">
        <f>-11430</f>
        <v>-11430</v>
      </c>
      <c r="AQ32" s="32">
        <f t="shared" si="11"/>
        <v>1650</v>
      </c>
      <c r="AR32" s="32">
        <f>9449</f>
        <v>9449</v>
      </c>
      <c r="AS32" s="32">
        <f t="shared" si="12"/>
        <v>-6225</v>
      </c>
      <c r="AT32" s="32">
        <v>8759</v>
      </c>
      <c r="AU32" s="32">
        <f t="shared" si="13"/>
        <v>-12120</v>
      </c>
    </row>
    <row r="33" spans="1:47" x14ac:dyDescent="0.2">
      <c r="A33" s="5" t="s">
        <v>307</v>
      </c>
      <c r="B33" s="32">
        <f t="shared" si="0"/>
        <v>-2893</v>
      </c>
      <c r="C33" s="32">
        <f t="shared" si="1"/>
        <v>-3024</v>
      </c>
      <c r="D33" s="32">
        <f t="shared" si="2"/>
        <v>-5080</v>
      </c>
      <c r="E33" s="32">
        <f t="shared" si="3"/>
        <v>-1427</v>
      </c>
      <c r="F33" s="32">
        <f t="shared" si="4"/>
        <v>-3899</v>
      </c>
      <c r="G33" s="32">
        <f t="shared" si="5"/>
        <v>-3746</v>
      </c>
      <c r="H33" s="32">
        <f t="shared" si="6"/>
        <v>-6953</v>
      </c>
      <c r="I33" s="32">
        <f t="shared" si="7"/>
        <v>9036</v>
      </c>
      <c r="J33" s="32">
        <f t="shared" si="8"/>
        <v>544</v>
      </c>
      <c r="K33" s="32">
        <f t="shared" si="9"/>
        <v>2642</v>
      </c>
      <c r="L33" s="32">
        <f t="shared" si="14"/>
        <v>-2386</v>
      </c>
      <c r="M33" s="32">
        <f t="shared" si="10"/>
        <v>-2212</v>
      </c>
      <c r="N33" s="32">
        <f>3707</f>
        <v>3707</v>
      </c>
      <c r="O33" s="32">
        <f>-14889</f>
        <v>-14889</v>
      </c>
      <c r="P33" s="32">
        <v>-829</v>
      </c>
      <c r="R33" s="32">
        <v>-915</v>
      </c>
      <c r="S33" s="32">
        <v>-1978</v>
      </c>
      <c r="T33" s="32">
        <v>-401</v>
      </c>
      <c r="U33" s="32">
        <v>-2623</v>
      </c>
      <c r="V33" s="32">
        <v>-3243</v>
      </c>
      <c r="W33" s="32">
        <v>-1837</v>
      </c>
      <c r="X33" s="32">
        <v>-2093</v>
      </c>
      <c r="Y33" s="32">
        <v>666</v>
      </c>
      <c r="Z33" s="32">
        <v>-366</v>
      </c>
      <c r="AA33" s="32">
        <v>-3533</v>
      </c>
      <c r="AB33" s="32">
        <v>-2381</v>
      </c>
      <c r="AC33" s="32">
        <v>-1365</v>
      </c>
      <c r="AD33" s="32">
        <v>-7998</v>
      </c>
      <c r="AE33" s="32">
        <v>1045</v>
      </c>
      <c r="AF33" s="32">
        <v>4391</v>
      </c>
      <c r="AG33" s="32">
        <v>4645</v>
      </c>
      <c r="AH33" s="32">
        <v>-1862</v>
      </c>
      <c r="AI33" s="32">
        <v>2406</v>
      </c>
      <c r="AJ33" s="32">
        <v>2635</v>
      </c>
      <c r="AK33" s="32">
        <v>7</v>
      </c>
      <c r="AL33" s="32">
        <v>-3421</v>
      </c>
      <c r="AM33" s="32">
        <v>1035</v>
      </c>
      <c r="AN33" s="32">
        <v>1075</v>
      </c>
      <c r="AO33" s="32">
        <v>-3287</v>
      </c>
      <c r="AP33" s="32">
        <v>-2847</v>
      </c>
      <c r="AQ33" s="32">
        <f t="shared" si="11"/>
        <v>6554</v>
      </c>
      <c r="AR33" s="32">
        <f>-7296</f>
        <v>-7296</v>
      </c>
      <c r="AS33" s="32">
        <f t="shared" si="12"/>
        <v>-7593</v>
      </c>
      <c r="AT33" s="32">
        <f>-2591</f>
        <v>-2591</v>
      </c>
      <c r="AU33" s="32">
        <f t="shared" si="13"/>
        <v>1762</v>
      </c>
    </row>
    <row r="34" spans="1:47" x14ac:dyDescent="0.2">
      <c r="A34" s="5" t="s">
        <v>241</v>
      </c>
      <c r="B34" s="32">
        <f>SUM(R34:S34)</f>
        <v>0</v>
      </c>
      <c r="C34" s="32">
        <f>SUM(T34:U34)</f>
        <v>0</v>
      </c>
      <c r="D34" s="32">
        <f>SUM(V34:W34)</f>
        <v>0</v>
      </c>
      <c r="E34" s="32">
        <f>SUM(X34:Y34)</f>
        <v>0</v>
      </c>
      <c r="F34" s="32">
        <f>SUM(Z34:AA34)</f>
        <v>0</v>
      </c>
      <c r="G34" s="32">
        <f>SUM(AB34:AC34)</f>
        <v>0</v>
      </c>
      <c r="H34" s="32">
        <f>SUM(AD34:AE34)</f>
        <v>-203</v>
      </c>
      <c r="I34" s="32">
        <f>SUM(AF34:AG34)</f>
        <v>-57</v>
      </c>
      <c r="J34" s="32">
        <f>SUM(AH34:AI34)</f>
        <v>-1219</v>
      </c>
      <c r="K34" s="32">
        <f>SUM(AJ34:AK34)</f>
        <v>-4675</v>
      </c>
      <c r="L34" s="32">
        <f>SUM(AL34:AM34)</f>
        <v>-18194</v>
      </c>
      <c r="M34" s="32">
        <f>SUM(AN34:AO34)</f>
        <v>-24029</v>
      </c>
      <c r="N34" s="32">
        <v>-25990</v>
      </c>
      <c r="O34" s="32">
        <f>-71504</f>
        <v>-71504</v>
      </c>
      <c r="P34" s="32">
        <f>-71068</f>
        <v>-71068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-991</v>
      </c>
      <c r="AE34" s="32">
        <v>788</v>
      </c>
      <c r="AF34" s="32">
        <v>1023</v>
      </c>
      <c r="AG34" s="32">
        <v>-1080</v>
      </c>
      <c r="AH34" s="32">
        <v>-333</v>
      </c>
      <c r="AI34" s="32">
        <v>-886</v>
      </c>
      <c r="AJ34" s="32">
        <v>-1513</v>
      </c>
      <c r="AK34" s="32">
        <v>-3162</v>
      </c>
      <c r="AL34" s="32">
        <v>-5237</v>
      </c>
      <c r="AM34" s="32">
        <v>-12957</v>
      </c>
      <c r="AN34" s="32">
        <v>-8788</v>
      </c>
      <c r="AO34" s="32">
        <v>-15241</v>
      </c>
      <c r="AP34" s="32">
        <v>-5641</v>
      </c>
      <c r="AQ34" s="32">
        <f t="shared" si="11"/>
        <v>-20349</v>
      </c>
      <c r="AR34" s="32">
        <f>-30474</f>
        <v>-30474</v>
      </c>
      <c r="AS34" s="32">
        <f t="shared" si="12"/>
        <v>-41030</v>
      </c>
      <c r="AT34" s="32">
        <f>-38402</f>
        <v>-38402</v>
      </c>
      <c r="AU34" s="32">
        <f t="shared" si="13"/>
        <v>-32666</v>
      </c>
    </row>
    <row r="35" spans="1:47" x14ac:dyDescent="0.2">
      <c r="A35" s="32" t="s">
        <v>293</v>
      </c>
      <c r="B35" s="32">
        <f>0</f>
        <v>0</v>
      </c>
      <c r="C35" s="32">
        <f>0</f>
        <v>0</v>
      </c>
      <c r="D35" s="32">
        <f>0</f>
        <v>0</v>
      </c>
      <c r="E35" s="32">
        <f>0</f>
        <v>0</v>
      </c>
      <c r="F35" s="32">
        <f>0</f>
        <v>0</v>
      </c>
      <c r="G35" s="32">
        <f>0</f>
        <v>0</v>
      </c>
      <c r="H35" s="32">
        <f>0</f>
        <v>0</v>
      </c>
      <c r="I35" s="32">
        <f>0</f>
        <v>0</v>
      </c>
      <c r="J35" s="32">
        <f>0</f>
        <v>0</v>
      </c>
      <c r="K35" s="32">
        <f>0</f>
        <v>0</v>
      </c>
      <c r="L35" s="32">
        <f>0</f>
        <v>0</v>
      </c>
      <c r="M35" s="32">
        <f>0</f>
        <v>0</v>
      </c>
      <c r="N35" s="32">
        <f>-465</f>
        <v>-465</v>
      </c>
      <c r="O35" s="32">
        <f>-1360</f>
        <v>-1360</v>
      </c>
      <c r="P35" s="32">
        <f>-141</f>
        <v>-141</v>
      </c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>
        <f>-1182</f>
        <v>-1182</v>
      </c>
      <c r="AS35" s="32">
        <f t="shared" si="12"/>
        <v>-178</v>
      </c>
      <c r="AT35" s="32">
        <f>114</f>
        <v>114</v>
      </c>
      <c r="AU35" s="32">
        <f t="shared" si="13"/>
        <v>-255</v>
      </c>
    </row>
    <row r="36" spans="1:47" x14ac:dyDescent="0.2">
      <c r="A36" s="32" t="s">
        <v>294</v>
      </c>
      <c r="B36" s="32">
        <f>0</f>
        <v>0</v>
      </c>
      <c r="C36" s="32">
        <f>0</f>
        <v>0</v>
      </c>
      <c r="D36" s="32">
        <f>0</f>
        <v>0</v>
      </c>
      <c r="E36" s="32">
        <f>0</f>
        <v>0</v>
      </c>
      <c r="F36" s="32">
        <f>0</f>
        <v>0</v>
      </c>
      <c r="G36" s="32">
        <f>0</f>
        <v>0</v>
      </c>
      <c r="H36" s="32">
        <f>0</f>
        <v>0</v>
      </c>
      <c r="I36" s="32">
        <f>0</f>
        <v>0</v>
      </c>
      <c r="J36" s="32">
        <f>0</f>
        <v>0</v>
      </c>
      <c r="K36" s="32">
        <f>0</f>
        <v>0</v>
      </c>
      <c r="L36" s="32">
        <f>0</f>
        <v>0</v>
      </c>
      <c r="M36" s="32">
        <f>0</f>
        <v>0</v>
      </c>
      <c r="N36" s="32">
        <f>-3291</f>
        <v>-3291</v>
      </c>
      <c r="O36" s="32">
        <f>-1137</f>
        <v>-1137</v>
      </c>
      <c r="P36" s="32">
        <f>413</f>
        <v>413</v>
      </c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>
        <f>-2000</f>
        <v>-2000</v>
      </c>
      <c r="AS36" s="32">
        <f t="shared" si="12"/>
        <v>863</v>
      </c>
      <c r="AT36" s="32">
        <f>407</f>
        <v>407</v>
      </c>
      <c r="AU36" s="32">
        <f t="shared" si="13"/>
        <v>6</v>
      </c>
    </row>
    <row r="37" spans="1:47" x14ac:dyDescent="0.2">
      <c r="A37" s="5" t="s">
        <v>242</v>
      </c>
      <c r="B37" s="32">
        <f t="shared" si="0"/>
        <v>-818</v>
      </c>
      <c r="C37" s="32">
        <f t="shared" si="1"/>
        <v>4074</v>
      </c>
      <c r="D37" s="32">
        <f t="shared" si="2"/>
        <v>4880</v>
      </c>
      <c r="E37" s="32">
        <f t="shared" si="3"/>
        <v>1184</v>
      </c>
      <c r="F37" s="32">
        <f t="shared" si="4"/>
        <v>2369</v>
      </c>
      <c r="G37" s="32">
        <f t="shared" si="5"/>
        <v>7812</v>
      </c>
      <c r="H37" s="32">
        <f t="shared" si="6"/>
        <v>161</v>
      </c>
      <c r="I37" s="32">
        <f t="shared" si="7"/>
        <v>-65</v>
      </c>
      <c r="J37" s="32">
        <f t="shared" si="8"/>
        <v>-9511</v>
      </c>
      <c r="K37" s="32">
        <f t="shared" si="9"/>
        <v>24390</v>
      </c>
      <c r="L37" s="32">
        <f t="shared" si="14"/>
        <v>5937</v>
      </c>
      <c r="M37" s="32">
        <f t="shared" si="10"/>
        <v>2424</v>
      </c>
      <c r="N37" s="32">
        <v>-4994</v>
      </c>
      <c r="O37" s="32">
        <f>-11221</f>
        <v>-11221</v>
      </c>
      <c r="P37" s="32">
        <v>969</v>
      </c>
      <c r="R37" s="32">
        <v>-437</v>
      </c>
      <c r="S37" s="32">
        <v>-381</v>
      </c>
      <c r="T37" s="32">
        <v>1434</v>
      </c>
      <c r="U37" s="32">
        <v>2640</v>
      </c>
      <c r="V37" s="32">
        <v>1478</v>
      </c>
      <c r="W37" s="32">
        <v>3402</v>
      </c>
      <c r="X37" s="32">
        <v>10135</v>
      </c>
      <c r="Y37" s="32">
        <v>-8951</v>
      </c>
      <c r="Z37" s="32">
        <v>-1461</v>
      </c>
      <c r="AA37" s="32">
        <v>3830</v>
      </c>
      <c r="AB37" s="32">
        <v>8519</v>
      </c>
      <c r="AC37" s="32">
        <v>-707</v>
      </c>
      <c r="AD37" s="32">
        <v>-1024</v>
      </c>
      <c r="AE37" s="32">
        <v>1185</v>
      </c>
      <c r="AF37" s="32">
        <v>-2068</v>
      </c>
      <c r="AG37" s="32">
        <v>2003</v>
      </c>
      <c r="AH37" s="32">
        <v>-9286</v>
      </c>
      <c r="AI37" s="32">
        <v>-225</v>
      </c>
      <c r="AJ37" s="32">
        <v>-2870</v>
      </c>
      <c r="AK37" s="32">
        <v>27260</v>
      </c>
      <c r="AL37" s="32">
        <v>2062</v>
      </c>
      <c r="AM37" s="32">
        <v>3875</v>
      </c>
      <c r="AN37" s="32">
        <v>2401</v>
      </c>
      <c r="AO37" s="32">
        <v>23</v>
      </c>
      <c r="AP37" s="32">
        <v>-1810</v>
      </c>
      <c r="AQ37" s="32">
        <f t="shared" si="11"/>
        <v>-3184</v>
      </c>
      <c r="AR37" s="32">
        <f>-16092</f>
        <v>-16092</v>
      </c>
      <c r="AS37" s="32">
        <f t="shared" si="12"/>
        <v>4871</v>
      </c>
      <c r="AT37" s="32">
        <v>-629</v>
      </c>
      <c r="AU37" s="32">
        <f t="shared" si="13"/>
        <v>1598</v>
      </c>
    </row>
    <row r="38" spans="1:47" x14ac:dyDescent="0.2">
      <c r="A38" s="5" t="s">
        <v>243</v>
      </c>
      <c r="B38" s="32">
        <f>SUM(R38:S38)</f>
        <v>0</v>
      </c>
      <c r="C38" s="32">
        <f>SUM(T38:U38)</f>
        <v>0</v>
      </c>
      <c r="D38" s="32">
        <f>SUM(V38:W38)</f>
        <v>0</v>
      </c>
      <c r="E38" s="32">
        <f>SUM(X38:Y38)</f>
        <v>0</v>
      </c>
      <c r="F38" s="32">
        <f>SUM(Z38:AA38)</f>
        <v>0</v>
      </c>
      <c r="G38" s="32">
        <f>SUM(AB38:AC38)</f>
        <v>0</v>
      </c>
      <c r="H38" s="32">
        <f>SUM(AD38:AE38)</f>
        <v>1329</v>
      </c>
      <c r="I38" s="32">
        <f>SUM(AF38:AG38)</f>
        <v>1500</v>
      </c>
      <c r="J38" s="32">
        <f>SUM(AH38:AI38)</f>
        <v>9290</v>
      </c>
      <c r="K38" s="32">
        <f>SUM(AJ38:AK38)</f>
        <v>-8088</v>
      </c>
      <c r="L38" s="32">
        <f>SUM(AL38:AM38)</f>
        <v>-14194</v>
      </c>
      <c r="M38" s="32">
        <f>SUM(AN38:AO38)</f>
        <v>-3577</v>
      </c>
      <c r="N38" s="32">
        <v>-3291</v>
      </c>
      <c r="O38" s="32">
        <f>4035</f>
        <v>4035</v>
      </c>
      <c r="P38" s="32">
        <f>-3184</f>
        <v>-3184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7727</v>
      </c>
      <c r="AE38" s="32">
        <v>-6398</v>
      </c>
      <c r="AF38" s="32">
        <v>8492</v>
      </c>
      <c r="AG38" s="32">
        <v>-6992</v>
      </c>
      <c r="AH38" s="32">
        <v>13454</v>
      </c>
      <c r="AI38" s="32">
        <v>-4164</v>
      </c>
      <c r="AJ38" s="32">
        <v>-3210</v>
      </c>
      <c r="AK38" s="32">
        <v>-4878</v>
      </c>
      <c r="AL38" s="32">
        <v>-6266</v>
      </c>
      <c r="AM38" s="32">
        <v>-7928</v>
      </c>
      <c r="AN38" s="32">
        <v>-674</v>
      </c>
      <c r="AO38" s="32">
        <v>-2903</v>
      </c>
      <c r="AP38" s="32">
        <v>2724</v>
      </c>
      <c r="AQ38" s="32">
        <f t="shared" si="11"/>
        <v>-6015</v>
      </c>
      <c r="AR38" s="32">
        <f>3849</f>
        <v>3849</v>
      </c>
      <c r="AS38" s="32">
        <f t="shared" si="12"/>
        <v>186</v>
      </c>
      <c r="AT38" s="32">
        <f>969</f>
        <v>969</v>
      </c>
      <c r="AU38" s="32">
        <f t="shared" si="13"/>
        <v>-4153</v>
      </c>
    </row>
    <row r="39" spans="1:47" x14ac:dyDescent="0.2">
      <c r="A39" s="5" t="s">
        <v>244</v>
      </c>
      <c r="B39" s="32">
        <f t="shared" si="0"/>
        <v>367</v>
      </c>
      <c r="C39" s="32">
        <f t="shared" si="1"/>
        <v>-992</v>
      </c>
      <c r="D39" s="32">
        <f t="shared" si="2"/>
        <v>1109</v>
      </c>
      <c r="E39" s="32">
        <f t="shared" si="3"/>
        <v>594</v>
      </c>
      <c r="F39" s="32">
        <f t="shared" si="4"/>
        <v>1315</v>
      </c>
      <c r="G39" s="32">
        <f t="shared" si="5"/>
        <v>-1808</v>
      </c>
      <c r="H39" s="32">
        <f t="shared" si="6"/>
        <v>112</v>
      </c>
      <c r="I39" s="32">
        <f t="shared" si="7"/>
        <v>-883</v>
      </c>
      <c r="J39" s="32">
        <f t="shared" si="8"/>
        <v>-420</v>
      </c>
      <c r="K39" s="32">
        <f t="shared" si="9"/>
        <v>-278</v>
      </c>
      <c r="L39" s="32">
        <f t="shared" si="14"/>
        <v>108</v>
      </c>
      <c r="M39" s="32">
        <f t="shared" si="10"/>
        <v>-28</v>
      </c>
      <c r="N39" s="32">
        <v>-2964</v>
      </c>
      <c r="O39" s="32">
        <f>3403</f>
        <v>3403</v>
      </c>
      <c r="P39" s="32">
        <v>8225</v>
      </c>
      <c r="R39" s="32">
        <v>-151</v>
      </c>
      <c r="S39" s="32">
        <v>518</v>
      </c>
      <c r="T39" s="32">
        <v>-410</v>
      </c>
      <c r="U39" s="32">
        <v>-582</v>
      </c>
      <c r="V39" s="32">
        <v>-317</v>
      </c>
      <c r="W39" s="32">
        <v>1426</v>
      </c>
      <c r="X39" s="32">
        <v>-324</v>
      </c>
      <c r="Y39" s="32">
        <v>918</v>
      </c>
      <c r="Z39" s="32">
        <v>-600</v>
      </c>
      <c r="AA39" s="32">
        <v>1915</v>
      </c>
      <c r="AB39" s="32">
        <v>-1694</v>
      </c>
      <c r="AC39" s="32">
        <v>-114</v>
      </c>
      <c r="AD39" s="32">
        <v>-261</v>
      </c>
      <c r="AE39" s="32">
        <v>373</v>
      </c>
      <c r="AF39" s="32">
        <v>-654</v>
      </c>
      <c r="AG39" s="32">
        <v>-229</v>
      </c>
      <c r="AH39" s="32">
        <v>-316</v>
      </c>
      <c r="AI39" s="32">
        <v>-104</v>
      </c>
      <c r="AJ39" s="32">
        <v>0</v>
      </c>
      <c r="AK39" s="32">
        <v>-278</v>
      </c>
      <c r="AL39" s="32">
        <v>449</v>
      </c>
      <c r="AM39" s="32">
        <v>-341</v>
      </c>
      <c r="AN39" s="32">
        <v>617</v>
      </c>
      <c r="AO39" s="32">
        <v>-645</v>
      </c>
      <c r="AP39" s="32">
        <v>-327</v>
      </c>
      <c r="AQ39" s="32">
        <f t="shared" si="11"/>
        <v>-2637</v>
      </c>
      <c r="AR39" s="32">
        <f>236</f>
        <v>236</v>
      </c>
      <c r="AS39" s="32">
        <f t="shared" si="12"/>
        <v>3167</v>
      </c>
      <c r="AT39" s="32">
        <f>976</f>
        <v>976</v>
      </c>
      <c r="AU39" s="32">
        <f t="shared" si="13"/>
        <v>7249</v>
      </c>
    </row>
    <row r="40" spans="1:47" x14ac:dyDescent="0.2">
      <c r="A40" s="5" t="s">
        <v>245</v>
      </c>
      <c r="B40" s="32">
        <f t="shared" si="0"/>
        <v>24</v>
      </c>
      <c r="C40" s="32">
        <f t="shared" si="1"/>
        <v>3</v>
      </c>
      <c r="D40" s="32">
        <f t="shared" si="2"/>
        <v>25</v>
      </c>
      <c r="E40" s="32">
        <f t="shared" si="3"/>
        <v>-59</v>
      </c>
      <c r="F40" s="32">
        <f t="shared" si="4"/>
        <v>0</v>
      </c>
      <c r="G40" s="32">
        <f t="shared" si="5"/>
        <v>0</v>
      </c>
      <c r="H40" s="32">
        <f t="shared" si="6"/>
        <v>0</v>
      </c>
      <c r="I40" s="32">
        <f t="shared" si="7"/>
        <v>0</v>
      </c>
      <c r="J40" s="32">
        <f t="shared" si="8"/>
        <v>0</v>
      </c>
      <c r="K40" s="32">
        <f t="shared" si="9"/>
        <v>0</v>
      </c>
      <c r="L40" s="32">
        <f t="shared" si="14"/>
        <v>0</v>
      </c>
      <c r="M40" s="32">
        <f t="shared" si="10"/>
        <v>0</v>
      </c>
      <c r="N40" s="32">
        <f t="shared" si="10"/>
        <v>0</v>
      </c>
      <c r="O40" s="32">
        <f>0</f>
        <v>0</v>
      </c>
      <c r="P40" s="32">
        <f>0</f>
        <v>0</v>
      </c>
      <c r="R40" s="32">
        <v>28</v>
      </c>
      <c r="S40" s="32">
        <v>-4</v>
      </c>
      <c r="T40" s="32">
        <v>21</v>
      </c>
      <c r="U40" s="32">
        <v>-18</v>
      </c>
      <c r="V40" s="32">
        <v>12</v>
      </c>
      <c r="W40" s="32">
        <v>13</v>
      </c>
      <c r="X40" s="32">
        <v>-11</v>
      </c>
      <c r="Y40" s="32">
        <v>-48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/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f t="shared" si="11"/>
        <v>0</v>
      </c>
      <c r="AR40" s="32">
        <f>0</f>
        <v>0</v>
      </c>
      <c r="AS40" s="32">
        <f t="shared" si="12"/>
        <v>0</v>
      </c>
      <c r="AT40" s="32">
        <f>0</f>
        <v>0</v>
      </c>
      <c r="AU40" s="32">
        <f t="shared" si="13"/>
        <v>0</v>
      </c>
    </row>
    <row r="41" spans="1:47" ht="15" x14ac:dyDescent="0.25">
      <c r="A41" s="70" t="s">
        <v>246</v>
      </c>
      <c r="B41" s="75">
        <f t="shared" si="0"/>
        <v>-878</v>
      </c>
      <c r="C41" s="75">
        <f t="shared" si="1"/>
        <v>-1194</v>
      </c>
      <c r="D41" s="75">
        <f t="shared" si="2"/>
        <v>1585</v>
      </c>
      <c r="E41" s="75">
        <f t="shared" si="3"/>
        <v>3744</v>
      </c>
      <c r="F41" s="75">
        <f t="shared" si="4"/>
        <v>-1151</v>
      </c>
      <c r="G41" s="75">
        <f t="shared" si="5"/>
        <v>6000</v>
      </c>
      <c r="H41" s="75">
        <f t="shared" si="6"/>
        <v>5062</v>
      </c>
      <c r="I41" s="75">
        <f t="shared" si="7"/>
        <v>18886</v>
      </c>
      <c r="J41" s="75">
        <f t="shared" si="8"/>
        <v>17275</v>
      </c>
      <c r="K41" s="75">
        <f t="shared" si="9"/>
        <v>8553</v>
      </c>
      <c r="L41" s="75">
        <f t="shared" si="14"/>
        <v>-13799</v>
      </c>
      <c r="M41" s="75">
        <f t="shared" si="10"/>
        <v>-39999</v>
      </c>
      <c r="N41" s="75">
        <f>SUM(N31:N40)</f>
        <v>-35998</v>
      </c>
      <c r="O41" s="75">
        <f>SUM(O31:O40)</f>
        <v>-76383</v>
      </c>
      <c r="P41" s="75">
        <f>SUM(P31:P40)</f>
        <v>-60267</v>
      </c>
      <c r="Q41" s="37"/>
      <c r="R41" s="75">
        <v>141</v>
      </c>
      <c r="S41" s="75">
        <v>-1019</v>
      </c>
      <c r="T41" s="75">
        <v>1527</v>
      </c>
      <c r="U41" s="75">
        <v>-2721</v>
      </c>
      <c r="V41" s="75">
        <v>-285</v>
      </c>
      <c r="W41" s="75">
        <v>1870</v>
      </c>
      <c r="X41" s="75">
        <v>2327</v>
      </c>
      <c r="Y41" s="75">
        <v>1417</v>
      </c>
      <c r="Z41" s="75">
        <v>-1833</v>
      </c>
      <c r="AA41" s="75">
        <v>682</v>
      </c>
      <c r="AB41" s="75">
        <v>5178</v>
      </c>
      <c r="AC41" s="75">
        <v>822</v>
      </c>
      <c r="AD41" s="75">
        <v>-91</v>
      </c>
      <c r="AE41" s="75">
        <v>5153</v>
      </c>
      <c r="AF41" s="75">
        <v>7847</v>
      </c>
      <c r="AG41" s="75">
        <v>11039</v>
      </c>
      <c r="AH41" s="75">
        <v>12708</v>
      </c>
      <c r="AI41" s="75">
        <v>4567</v>
      </c>
      <c r="AJ41" s="75">
        <v>807</v>
      </c>
      <c r="AK41" s="75">
        <v>7746</v>
      </c>
      <c r="AL41" s="75">
        <v>-3981</v>
      </c>
      <c r="AM41" s="75">
        <v>-9818</v>
      </c>
      <c r="AN41" s="75">
        <f>SUM(AN31:AN40)</f>
        <v>-16149</v>
      </c>
      <c r="AO41" s="75">
        <v>-23850</v>
      </c>
      <c r="AP41" s="75">
        <f>SUM(AP31:AP40)</f>
        <v>-14946</v>
      </c>
      <c r="AQ41" s="75">
        <f t="shared" si="11"/>
        <v>-21052</v>
      </c>
      <c r="AR41" s="75">
        <f>SUM(AR31:AR40)</f>
        <v>-34208</v>
      </c>
      <c r="AS41" s="75">
        <f t="shared" ref="AS41" si="28">SUM(AS31:AS40)</f>
        <v>-42175</v>
      </c>
      <c r="AT41" s="75">
        <f>SUM(AT31:AT40)</f>
        <v>-24649</v>
      </c>
      <c r="AU41" s="75">
        <f t="shared" si="13"/>
        <v>-35618</v>
      </c>
    </row>
    <row r="42" spans="1:47" x14ac:dyDescent="0.2">
      <c r="A42" s="5" t="s">
        <v>247</v>
      </c>
      <c r="B42" s="32">
        <f t="shared" si="0"/>
        <v>-1897</v>
      </c>
      <c r="C42" s="32">
        <f t="shared" si="1"/>
        <v>-1833</v>
      </c>
      <c r="D42" s="32">
        <f t="shared" si="2"/>
        <v>-907</v>
      </c>
      <c r="E42" s="32">
        <f t="shared" si="3"/>
        <v>-1645</v>
      </c>
      <c r="F42" s="32">
        <f t="shared" si="4"/>
        <v>-2146</v>
      </c>
      <c r="G42" s="32">
        <f t="shared" si="5"/>
        <v>-1960</v>
      </c>
      <c r="H42" s="32">
        <f t="shared" si="6"/>
        <v>-2381</v>
      </c>
      <c r="I42" s="32">
        <f t="shared" si="7"/>
        <v>-1483</v>
      </c>
      <c r="J42" s="32">
        <f t="shared" si="8"/>
        <v>-3939</v>
      </c>
      <c r="K42" s="32">
        <f t="shared" si="9"/>
        <v>-4647</v>
      </c>
      <c r="L42" s="32">
        <f t="shared" si="14"/>
        <v>-3543</v>
      </c>
      <c r="M42" s="32">
        <f t="shared" si="10"/>
        <v>-5553</v>
      </c>
      <c r="N42" s="32">
        <v>-4518</v>
      </c>
      <c r="O42" s="32">
        <f>-2637</f>
        <v>-2637</v>
      </c>
      <c r="P42" s="32">
        <v>-4404</v>
      </c>
      <c r="R42" s="32">
        <v>-1370</v>
      </c>
      <c r="S42" s="32">
        <v>-527</v>
      </c>
      <c r="T42" s="32">
        <v>-936</v>
      </c>
      <c r="U42" s="32">
        <v>-897</v>
      </c>
      <c r="V42" s="32">
        <v>-632</v>
      </c>
      <c r="W42" s="32">
        <v>-275</v>
      </c>
      <c r="X42" s="32">
        <v>-742</v>
      </c>
      <c r="Y42" s="32">
        <v>-903</v>
      </c>
      <c r="Z42" s="32">
        <v>-1605</v>
      </c>
      <c r="AA42" s="32">
        <v>-541</v>
      </c>
      <c r="AB42" s="32">
        <v>-1070</v>
      </c>
      <c r="AC42" s="32">
        <v>-890</v>
      </c>
      <c r="AD42" s="32">
        <v>-1018</v>
      </c>
      <c r="AE42" s="32">
        <v>-1363</v>
      </c>
      <c r="AF42" s="32">
        <v>-600</v>
      </c>
      <c r="AG42" s="32">
        <v>-883</v>
      </c>
      <c r="AH42" s="32">
        <v>-1620</v>
      </c>
      <c r="AI42" s="32">
        <v>-2319</v>
      </c>
      <c r="AJ42" s="32">
        <v>-1731</v>
      </c>
      <c r="AK42" s="32">
        <v>-2916</v>
      </c>
      <c r="AL42" s="32">
        <v>-1231</v>
      </c>
      <c r="AM42" s="32">
        <v>-2312</v>
      </c>
      <c r="AN42" s="32">
        <v>-1149</v>
      </c>
      <c r="AO42" s="32">
        <v>-4404</v>
      </c>
      <c r="AP42" s="32">
        <v>-1887</v>
      </c>
      <c r="AQ42" s="32">
        <f t="shared" si="11"/>
        <v>-2631</v>
      </c>
      <c r="AR42" s="32">
        <f>-2161</f>
        <v>-2161</v>
      </c>
      <c r="AS42" s="32">
        <f t="shared" si="12"/>
        <v>-476</v>
      </c>
      <c r="AT42" s="32">
        <f>-1659</f>
        <v>-1659</v>
      </c>
      <c r="AU42" s="32">
        <f t="shared" si="13"/>
        <v>-2745</v>
      </c>
    </row>
    <row r="43" spans="1:47" x14ac:dyDescent="0.2">
      <c r="A43" s="5" t="s">
        <v>248</v>
      </c>
      <c r="B43" s="32">
        <f t="shared" si="0"/>
        <v>-1098</v>
      </c>
      <c r="C43" s="32">
        <f t="shared" si="1"/>
        <v>-1097</v>
      </c>
      <c r="D43" s="32">
        <f t="shared" si="2"/>
        <v>-1724</v>
      </c>
      <c r="E43" s="32">
        <f t="shared" si="3"/>
        <v>-1588</v>
      </c>
      <c r="F43" s="32">
        <f t="shared" si="4"/>
        <v>-2516</v>
      </c>
      <c r="G43" s="32">
        <f t="shared" si="5"/>
        <v>-2603</v>
      </c>
      <c r="H43" s="32">
        <f t="shared" si="6"/>
        <v>-2257</v>
      </c>
      <c r="I43" s="32">
        <f t="shared" si="7"/>
        <v>-2246</v>
      </c>
      <c r="J43" s="32">
        <f t="shared" si="8"/>
        <v>-4824</v>
      </c>
      <c r="K43" s="32">
        <f t="shared" si="9"/>
        <v>-4803</v>
      </c>
      <c r="L43" s="32">
        <f t="shared" si="14"/>
        <v>-4461</v>
      </c>
      <c r="M43" s="32">
        <f t="shared" si="10"/>
        <v>-5263</v>
      </c>
      <c r="N43" s="32">
        <v>-6015</v>
      </c>
      <c r="O43" s="32">
        <f>-10589</f>
        <v>-10589</v>
      </c>
      <c r="P43" s="32">
        <f>-17061</f>
        <v>-17061</v>
      </c>
      <c r="R43" s="32">
        <v>-547</v>
      </c>
      <c r="S43" s="32">
        <v>-551</v>
      </c>
      <c r="T43" s="32">
        <v>-476</v>
      </c>
      <c r="U43" s="32">
        <v>-621</v>
      </c>
      <c r="V43" s="32">
        <v>-871</v>
      </c>
      <c r="W43" s="32">
        <v>-853</v>
      </c>
      <c r="X43" s="32">
        <v>-683</v>
      </c>
      <c r="Y43" s="32">
        <v>-905</v>
      </c>
      <c r="Z43" s="32">
        <v>-1180</v>
      </c>
      <c r="AA43" s="32">
        <v>-1336</v>
      </c>
      <c r="AB43" s="32">
        <v>-1278</v>
      </c>
      <c r="AC43" s="32">
        <v>-1325</v>
      </c>
      <c r="AD43" s="32">
        <v>-1093</v>
      </c>
      <c r="AE43" s="32">
        <v>-1164</v>
      </c>
      <c r="AF43" s="32">
        <v>-1146</v>
      </c>
      <c r="AG43" s="32">
        <v>-1100</v>
      </c>
      <c r="AH43" s="32">
        <v>-2056</v>
      </c>
      <c r="AI43" s="32">
        <v>-2768</v>
      </c>
      <c r="AJ43" s="32">
        <v>-2504</v>
      </c>
      <c r="AK43" s="32">
        <v>-2299</v>
      </c>
      <c r="AL43" s="32">
        <v>-2097</v>
      </c>
      <c r="AM43" s="32">
        <v>-2364</v>
      </c>
      <c r="AN43" s="32">
        <v>-4385</v>
      </c>
      <c r="AO43" s="32">
        <v>-878</v>
      </c>
      <c r="AP43" s="32">
        <v>-2588</v>
      </c>
      <c r="AQ43" s="32">
        <f t="shared" si="11"/>
        <v>-3427</v>
      </c>
      <c r="AR43" s="32">
        <f>-5342</f>
        <v>-5342</v>
      </c>
      <c r="AS43" s="32">
        <f t="shared" si="12"/>
        <v>-5247</v>
      </c>
      <c r="AT43" s="32">
        <f>-8042</f>
        <v>-8042</v>
      </c>
      <c r="AU43" s="32">
        <f t="shared" si="13"/>
        <v>-9019</v>
      </c>
    </row>
    <row r="44" spans="1:47" x14ac:dyDescent="0.2">
      <c r="A44" s="48" t="s">
        <v>249</v>
      </c>
      <c r="B44" s="76">
        <f t="shared" si="0"/>
        <v>-3873</v>
      </c>
      <c r="C44" s="76">
        <f t="shared" si="1"/>
        <v>-4124</v>
      </c>
      <c r="D44" s="76">
        <f t="shared" si="2"/>
        <v>-1046</v>
      </c>
      <c r="E44" s="76">
        <f t="shared" si="3"/>
        <v>511</v>
      </c>
      <c r="F44" s="76">
        <f t="shared" si="4"/>
        <v>-5813</v>
      </c>
      <c r="G44" s="76">
        <f t="shared" si="5"/>
        <v>1437</v>
      </c>
      <c r="H44" s="76">
        <f t="shared" si="6"/>
        <v>424</v>
      </c>
      <c r="I44" s="76">
        <f t="shared" si="7"/>
        <v>15157</v>
      </c>
      <c r="J44" s="76">
        <f t="shared" si="8"/>
        <v>8512</v>
      </c>
      <c r="K44" s="76">
        <f t="shared" si="9"/>
        <v>-897</v>
      </c>
      <c r="L44" s="76">
        <f>SUM(AL44:AM44)</f>
        <v>-21803</v>
      </c>
      <c r="M44" s="76">
        <f t="shared" si="10"/>
        <v>-50815</v>
      </c>
      <c r="N44" s="76">
        <f>SUM(N41:N43)</f>
        <v>-46531</v>
      </c>
      <c r="O44" s="76">
        <f>SUM(O41:O43)</f>
        <v>-89609</v>
      </c>
      <c r="P44" s="76">
        <f>SUM(P41:P43)</f>
        <v>-81732</v>
      </c>
      <c r="Q44" s="30"/>
      <c r="R44" s="76">
        <v>-1776</v>
      </c>
      <c r="S44" s="76">
        <v>-2097</v>
      </c>
      <c r="T44" s="76">
        <v>115</v>
      </c>
      <c r="U44" s="76">
        <v>-4239</v>
      </c>
      <c r="V44" s="76">
        <v>-1788</v>
      </c>
      <c r="W44" s="76">
        <v>742</v>
      </c>
      <c r="X44" s="76">
        <v>902</v>
      </c>
      <c r="Y44" s="76">
        <v>-391</v>
      </c>
      <c r="Z44" s="76">
        <v>-4618</v>
      </c>
      <c r="AA44" s="76">
        <v>-1195</v>
      </c>
      <c r="AB44" s="76">
        <v>2830</v>
      </c>
      <c r="AC44" s="76">
        <v>-1393</v>
      </c>
      <c r="AD44" s="76">
        <v>-2202</v>
      </c>
      <c r="AE44" s="76">
        <v>2626</v>
      </c>
      <c r="AF44" s="76">
        <v>6101</v>
      </c>
      <c r="AG44" s="76">
        <v>9056</v>
      </c>
      <c r="AH44" s="76">
        <v>9032</v>
      </c>
      <c r="AI44" s="76">
        <v>-520</v>
      </c>
      <c r="AJ44" s="76">
        <v>-3428</v>
      </c>
      <c r="AK44" s="76">
        <v>2531</v>
      </c>
      <c r="AL44" s="77">
        <v>-7309</v>
      </c>
      <c r="AM44" s="77">
        <v>-14494</v>
      </c>
      <c r="AN44" s="77">
        <f>SUM(AN41:AN43)</f>
        <v>-21683</v>
      </c>
      <c r="AO44" s="77">
        <v>-29132</v>
      </c>
      <c r="AP44" s="77">
        <f>SUM(AP41:AP43)</f>
        <v>-19421</v>
      </c>
      <c r="AQ44" s="77">
        <f t="shared" si="11"/>
        <v>-27110</v>
      </c>
      <c r="AR44" s="77">
        <f>SUM(AR41:AR43)</f>
        <v>-41711</v>
      </c>
      <c r="AS44" s="77">
        <f t="shared" ref="AS44" si="29">SUM(AS41:AS43)</f>
        <v>-47898</v>
      </c>
      <c r="AT44" s="77">
        <f>SUM(AT41:AT43)</f>
        <v>-34350</v>
      </c>
      <c r="AU44" s="77">
        <f t="shared" si="13"/>
        <v>-47382</v>
      </c>
    </row>
    <row r="45" spans="1:47" x14ac:dyDescent="0.2">
      <c r="A45" s="49"/>
      <c r="B45" s="32"/>
      <c r="C45" s="32"/>
      <c r="D45" s="32"/>
      <c r="E45" s="32"/>
      <c r="F45" s="32"/>
      <c r="G45" s="32"/>
      <c r="H45" s="32"/>
      <c r="I45" s="32"/>
      <c r="J45" s="32"/>
      <c r="K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R45" s="5"/>
      <c r="AS45" s="5"/>
      <c r="AT45" s="5"/>
      <c r="AU45" s="5"/>
    </row>
    <row r="46" spans="1:47" x14ac:dyDescent="0.2">
      <c r="A46" s="4" t="s">
        <v>250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R46" s="5"/>
      <c r="AS46" s="5"/>
      <c r="AT46" s="5"/>
      <c r="AU46" s="5"/>
    </row>
    <row r="47" spans="1:47" x14ac:dyDescent="0.2">
      <c r="A47" s="5" t="s">
        <v>251</v>
      </c>
      <c r="B47" s="32">
        <f t="shared" ref="B47:B57" si="30">SUM(R47:S47)</f>
        <v>117</v>
      </c>
      <c r="C47" s="32">
        <f t="shared" ref="C47:C57" si="31">SUM(T47:U47)</f>
        <v>71</v>
      </c>
      <c r="D47" s="32">
        <f t="shared" ref="D47:D57" si="32">SUM(V47:W47)</f>
        <v>15</v>
      </c>
      <c r="E47" s="32">
        <f t="shared" ref="E47:E57" si="33">SUM(X47:Y47)</f>
        <v>66</v>
      </c>
      <c r="F47" s="32">
        <f t="shared" ref="F47:F57" si="34">SUM(Z47:AA47)</f>
        <v>188</v>
      </c>
      <c r="G47" s="32">
        <f t="shared" ref="G47:G57" si="35">SUM(AB47:AC47)</f>
        <v>93</v>
      </c>
      <c r="H47" s="32">
        <f t="shared" ref="H47:H57" si="36">SUM(AD47:AE47)</f>
        <v>294</v>
      </c>
      <c r="I47" s="32">
        <f t="shared" ref="I47:I57" si="37">SUM(AF47:AG47)</f>
        <v>57</v>
      </c>
      <c r="J47" s="32">
        <f t="shared" ref="J47:J57" si="38">SUM(AH47:AI47)</f>
        <v>346</v>
      </c>
      <c r="K47" s="32">
        <f t="shared" ref="K47:K57" si="39">SUM(AJ47:AK47)</f>
        <v>265</v>
      </c>
      <c r="L47" s="32">
        <f>SUM(AL47:AM47)</f>
        <v>266</v>
      </c>
      <c r="M47" s="32">
        <f t="shared" si="10"/>
        <v>10</v>
      </c>
      <c r="N47" s="32">
        <v>413</v>
      </c>
      <c r="O47" s="32">
        <f>996</f>
        <v>996</v>
      </c>
      <c r="P47" s="32">
        <f>1117</f>
        <v>1117</v>
      </c>
      <c r="R47" s="32">
        <v>98</v>
      </c>
      <c r="S47" s="32">
        <v>19</v>
      </c>
      <c r="T47" s="32">
        <v>41</v>
      </c>
      <c r="U47" s="32">
        <v>30</v>
      </c>
      <c r="V47" s="32">
        <v>57</v>
      </c>
      <c r="W47" s="32">
        <v>-42</v>
      </c>
      <c r="X47" s="32">
        <v>52</v>
      </c>
      <c r="Y47" s="32">
        <v>14</v>
      </c>
      <c r="Z47" s="32">
        <v>29</v>
      </c>
      <c r="AA47" s="32">
        <v>159</v>
      </c>
      <c r="AB47" s="32">
        <v>45</v>
      </c>
      <c r="AC47" s="32">
        <v>48</v>
      </c>
      <c r="AD47" s="32">
        <v>221</v>
      </c>
      <c r="AE47" s="32">
        <v>73</v>
      </c>
      <c r="AF47" s="32">
        <v>6</v>
      </c>
      <c r="AG47" s="32">
        <v>51</v>
      </c>
      <c r="AH47" s="32">
        <v>51</v>
      </c>
      <c r="AI47" s="32">
        <v>295</v>
      </c>
      <c r="AJ47" s="32">
        <v>92</v>
      </c>
      <c r="AK47" s="32">
        <v>173</v>
      </c>
      <c r="AL47" s="32">
        <v>195</v>
      </c>
      <c r="AM47" s="32">
        <v>71</v>
      </c>
      <c r="AN47" s="32">
        <v>31</v>
      </c>
      <c r="AO47" s="32">
        <v>-21</v>
      </c>
      <c r="AP47" s="32">
        <v>209</v>
      </c>
      <c r="AQ47" s="32">
        <f t="shared" si="11"/>
        <v>204</v>
      </c>
      <c r="AR47" s="32">
        <f>677</f>
        <v>677</v>
      </c>
      <c r="AS47" s="32">
        <f t="shared" si="12"/>
        <v>319</v>
      </c>
      <c r="AT47" s="32">
        <f>594</f>
        <v>594</v>
      </c>
      <c r="AU47" s="32">
        <f t="shared" si="13"/>
        <v>523</v>
      </c>
    </row>
    <row r="48" spans="1:47" x14ac:dyDescent="0.2">
      <c r="A48" s="5" t="s">
        <v>252</v>
      </c>
      <c r="B48" s="32">
        <f t="shared" si="30"/>
        <v>0</v>
      </c>
      <c r="C48" s="32">
        <f t="shared" si="31"/>
        <v>0</v>
      </c>
      <c r="D48" s="32">
        <f t="shared" si="32"/>
        <v>0</v>
      </c>
      <c r="E48" s="32">
        <f t="shared" si="33"/>
        <v>0</v>
      </c>
      <c r="F48" s="32">
        <f t="shared" si="34"/>
        <v>0</v>
      </c>
      <c r="G48" s="32">
        <f t="shared" si="35"/>
        <v>0</v>
      </c>
      <c r="H48" s="32">
        <f t="shared" si="36"/>
        <v>232</v>
      </c>
      <c r="I48" s="32">
        <f t="shared" si="37"/>
        <v>8</v>
      </c>
      <c r="J48" s="32">
        <f t="shared" si="38"/>
        <v>76</v>
      </c>
      <c r="K48" s="32">
        <f t="shared" si="39"/>
        <v>440</v>
      </c>
      <c r="L48" s="32">
        <f t="shared" ref="L48:L57" si="40">SUM(AL48:AM48)</f>
        <v>474</v>
      </c>
      <c r="M48" s="32">
        <f t="shared" si="10"/>
        <v>12</v>
      </c>
      <c r="N48" s="32">
        <v>8</v>
      </c>
      <c r="O48" s="32">
        <f>65</f>
        <v>65</v>
      </c>
      <c r="P48" s="32">
        <f>1413</f>
        <v>1413</v>
      </c>
      <c r="R48" s="32"/>
      <c r="S48" s="32">
        <v>0</v>
      </c>
      <c r="T48" s="32"/>
      <c r="U48" s="32">
        <v>0</v>
      </c>
      <c r="V48" s="32"/>
      <c r="W48" s="32">
        <v>0</v>
      </c>
      <c r="X48" s="32"/>
      <c r="Y48" s="32">
        <v>0</v>
      </c>
      <c r="Z48" s="32"/>
      <c r="AA48" s="32">
        <v>0</v>
      </c>
      <c r="AB48" s="32">
        <v>0</v>
      </c>
      <c r="AC48" s="32">
        <v>0</v>
      </c>
      <c r="AD48" s="32">
        <v>224</v>
      </c>
      <c r="AE48" s="32">
        <v>8</v>
      </c>
      <c r="AF48" s="32">
        <v>8</v>
      </c>
      <c r="AG48" s="32">
        <v>0</v>
      </c>
      <c r="AH48" s="32">
        <v>0</v>
      </c>
      <c r="AI48" s="32">
        <v>76</v>
      </c>
      <c r="AJ48" s="32">
        <v>62</v>
      </c>
      <c r="AK48" s="32">
        <v>378</v>
      </c>
      <c r="AL48" s="32">
        <v>296</v>
      </c>
      <c r="AM48" s="32">
        <v>178</v>
      </c>
      <c r="AN48" s="32">
        <v>6</v>
      </c>
      <c r="AO48" s="32">
        <v>6</v>
      </c>
      <c r="AP48" s="32">
        <v>6</v>
      </c>
      <c r="AQ48" s="32">
        <f t="shared" si="11"/>
        <v>2</v>
      </c>
      <c r="AR48" s="32">
        <f>43</f>
        <v>43</v>
      </c>
      <c r="AS48" s="32">
        <f t="shared" si="12"/>
        <v>22</v>
      </c>
      <c r="AT48" s="32">
        <f>3</f>
        <v>3</v>
      </c>
      <c r="AU48" s="32">
        <f t="shared" si="13"/>
        <v>1410</v>
      </c>
    </row>
    <row r="49" spans="1:47" x14ac:dyDescent="0.2">
      <c r="A49" s="5" t="s">
        <v>253</v>
      </c>
      <c r="B49" s="32">
        <f t="shared" si="30"/>
        <v>140</v>
      </c>
      <c r="C49" s="32">
        <f t="shared" si="31"/>
        <v>552</v>
      </c>
      <c r="D49" s="32">
        <f t="shared" si="32"/>
        <v>611</v>
      </c>
      <c r="E49" s="32">
        <f t="shared" si="33"/>
        <v>823</v>
      </c>
      <c r="F49" s="32">
        <f t="shared" si="34"/>
        <v>1311</v>
      </c>
      <c r="G49" s="32">
        <f t="shared" si="35"/>
        <v>1153</v>
      </c>
      <c r="H49" s="32">
        <f t="shared" si="36"/>
        <v>918</v>
      </c>
      <c r="I49" s="32">
        <f t="shared" si="37"/>
        <v>1125</v>
      </c>
      <c r="J49" s="32">
        <f t="shared" si="38"/>
        <v>2167</v>
      </c>
      <c r="K49" s="32">
        <f t="shared" si="39"/>
        <v>1103</v>
      </c>
      <c r="L49" s="32">
        <f t="shared" si="40"/>
        <v>1763</v>
      </c>
      <c r="M49" s="32">
        <f t="shared" si="10"/>
        <v>1211</v>
      </c>
      <c r="N49" s="32">
        <v>1952</v>
      </c>
      <c r="O49" s="32">
        <f>1519</f>
        <v>1519</v>
      </c>
      <c r="P49" s="32">
        <f>1433</f>
        <v>1433</v>
      </c>
      <c r="R49" s="32">
        <v>69</v>
      </c>
      <c r="S49" s="32">
        <v>71</v>
      </c>
      <c r="T49" s="32">
        <v>251</v>
      </c>
      <c r="U49" s="32">
        <v>301</v>
      </c>
      <c r="V49" s="32">
        <v>351</v>
      </c>
      <c r="W49" s="32">
        <v>260</v>
      </c>
      <c r="X49" s="32">
        <v>342</v>
      </c>
      <c r="Y49" s="32">
        <v>481</v>
      </c>
      <c r="Z49" s="32">
        <v>802</v>
      </c>
      <c r="AA49" s="32">
        <v>509</v>
      </c>
      <c r="AB49" s="32">
        <v>580</v>
      </c>
      <c r="AC49" s="32">
        <v>573</v>
      </c>
      <c r="AD49" s="32">
        <v>410</v>
      </c>
      <c r="AE49" s="32">
        <v>508</v>
      </c>
      <c r="AF49" s="32">
        <v>431</v>
      </c>
      <c r="AG49" s="32">
        <v>694</v>
      </c>
      <c r="AH49" s="32">
        <v>1238</v>
      </c>
      <c r="AI49" s="32">
        <v>929</v>
      </c>
      <c r="AJ49" s="32">
        <v>723</v>
      </c>
      <c r="AK49" s="32">
        <v>380</v>
      </c>
      <c r="AL49" s="32">
        <v>496</v>
      </c>
      <c r="AM49" s="32">
        <v>1267</v>
      </c>
      <c r="AN49" s="32">
        <v>680</v>
      </c>
      <c r="AO49" s="32">
        <v>531</v>
      </c>
      <c r="AP49" s="32">
        <v>919</v>
      </c>
      <c r="AQ49" s="32">
        <f t="shared" si="11"/>
        <v>1033</v>
      </c>
      <c r="AR49" s="32">
        <f>649</f>
        <v>649</v>
      </c>
      <c r="AS49" s="32">
        <f t="shared" si="12"/>
        <v>870</v>
      </c>
      <c r="AT49" s="32">
        <f>883</f>
        <v>883</v>
      </c>
      <c r="AU49" s="32">
        <f t="shared" si="13"/>
        <v>550</v>
      </c>
    </row>
    <row r="50" spans="1:47" x14ac:dyDescent="0.2">
      <c r="A50" s="5" t="s">
        <v>254</v>
      </c>
      <c r="B50" s="32">
        <f t="shared" si="30"/>
        <v>-726</v>
      </c>
      <c r="C50" s="32">
        <f t="shared" si="31"/>
        <v>-844</v>
      </c>
      <c r="D50" s="32">
        <f t="shared" si="32"/>
        <v>-431</v>
      </c>
      <c r="E50" s="32">
        <f t="shared" si="33"/>
        <v>-653</v>
      </c>
      <c r="F50" s="32">
        <f t="shared" si="34"/>
        <v>-369</v>
      </c>
      <c r="G50" s="32">
        <f t="shared" si="35"/>
        <v>-711</v>
      </c>
      <c r="H50" s="32">
        <f t="shared" si="36"/>
        <v>-707</v>
      </c>
      <c r="I50" s="32">
        <f t="shared" si="37"/>
        <v>-550</v>
      </c>
      <c r="J50" s="32">
        <f t="shared" si="38"/>
        <v>-496</v>
      </c>
      <c r="K50" s="32">
        <f t="shared" si="39"/>
        <v>-396</v>
      </c>
      <c r="L50" s="32">
        <f t="shared" si="40"/>
        <v>-560</v>
      </c>
      <c r="M50" s="32">
        <f t="shared" si="10"/>
        <v>-1201</v>
      </c>
      <c r="N50" s="32">
        <v>-2146</v>
      </c>
      <c r="O50" s="32">
        <f>-6467</f>
        <v>-6467</v>
      </c>
      <c r="P50" s="32">
        <f>-3295</f>
        <v>-3295</v>
      </c>
      <c r="R50" s="32">
        <v>-191</v>
      </c>
      <c r="S50" s="32">
        <v>-535</v>
      </c>
      <c r="T50" s="32">
        <v>-297</v>
      </c>
      <c r="U50" s="32">
        <v>-547</v>
      </c>
      <c r="V50" s="32">
        <v>-160</v>
      </c>
      <c r="W50" s="32">
        <v>-271</v>
      </c>
      <c r="X50" s="32">
        <v>-364</v>
      </c>
      <c r="Y50" s="32">
        <v>-289</v>
      </c>
      <c r="Z50" s="32">
        <v>-95</v>
      </c>
      <c r="AA50" s="32">
        <v>-274</v>
      </c>
      <c r="AB50" s="32">
        <v>-218</v>
      </c>
      <c r="AC50" s="32">
        <v>-493</v>
      </c>
      <c r="AD50" s="32">
        <v>-365</v>
      </c>
      <c r="AE50" s="32">
        <v>-342</v>
      </c>
      <c r="AF50" s="32">
        <v>-266</v>
      </c>
      <c r="AG50" s="32">
        <v>-284</v>
      </c>
      <c r="AH50" s="32">
        <v>-335</v>
      </c>
      <c r="AI50" s="32">
        <v>-161</v>
      </c>
      <c r="AJ50" s="32">
        <v>-306</v>
      </c>
      <c r="AK50" s="32">
        <v>-90</v>
      </c>
      <c r="AL50" s="32">
        <v>-236</v>
      </c>
      <c r="AM50" s="32">
        <v>-324</v>
      </c>
      <c r="AN50" s="32">
        <v>-331</v>
      </c>
      <c r="AO50" s="32">
        <v>-870</v>
      </c>
      <c r="AP50" s="32">
        <v>-981</v>
      </c>
      <c r="AQ50" s="32">
        <f t="shared" si="11"/>
        <v>-1165</v>
      </c>
      <c r="AR50" s="32">
        <f>-1640</f>
        <v>-1640</v>
      </c>
      <c r="AS50" s="32">
        <f t="shared" si="12"/>
        <v>-4827</v>
      </c>
      <c r="AT50" s="32">
        <v>-2424</v>
      </c>
      <c r="AU50" s="32">
        <f t="shared" si="13"/>
        <v>-871</v>
      </c>
    </row>
    <row r="51" spans="1:47" x14ac:dyDescent="0.2">
      <c r="A51" s="5" t="s">
        <v>255</v>
      </c>
      <c r="B51" s="32">
        <f t="shared" si="30"/>
        <v>-253</v>
      </c>
      <c r="C51" s="32">
        <f t="shared" si="31"/>
        <v>-371</v>
      </c>
      <c r="D51" s="32">
        <f t="shared" si="32"/>
        <v>-55</v>
      </c>
      <c r="E51" s="32">
        <f t="shared" si="33"/>
        <v>-178</v>
      </c>
      <c r="F51" s="32">
        <f t="shared" si="34"/>
        <v>-123</v>
      </c>
      <c r="G51" s="32">
        <f t="shared" si="35"/>
        <v>-435</v>
      </c>
      <c r="H51" s="32">
        <f t="shared" si="36"/>
        <v>-60</v>
      </c>
      <c r="I51" s="32">
        <f t="shared" si="37"/>
        <v>-91</v>
      </c>
      <c r="J51" s="32">
        <f t="shared" si="38"/>
        <v>48</v>
      </c>
      <c r="K51" s="32">
        <f t="shared" si="39"/>
        <v>-216</v>
      </c>
      <c r="L51" s="32">
        <f t="shared" si="40"/>
        <v>-823</v>
      </c>
      <c r="M51" s="32">
        <f t="shared" si="10"/>
        <v>-13</v>
      </c>
      <c r="N51" s="32">
        <v>-165</v>
      </c>
      <c r="O51" s="32">
        <f>-682</f>
        <v>-682</v>
      </c>
      <c r="P51" s="32">
        <f>-3524</f>
        <v>-3524</v>
      </c>
      <c r="R51" s="32">
        <v>-61</v>
      </c>
      <c r="S51" s="32">
        <v>-192</v>
      </c>
      <c r="T51" s="32">
        <v>-11</v>
      </c>
      <c r="U51" s="32">
        <v>-360</v>
      </c>
      <c r="V51" s="32">
        <v>-37</v>
      </c>
      <c r="W51" s="32">
        <v>-18</v>
      </c>
      <c r="X51" s="32">
        <v>-16</v>
      </c>
      <c r="Y51" s="32">
        <v>-162</v>
      </c>
      <c r="Z51" s="32">
        <v>-4</v>
      </c>
      <c r="AA51" s="32">
        <v>-119</v>
      </c>
      <c r="AB51" s="32">
        <v>-41</v>
      </c>
      <c r="AC51" s="32">
        <v>-394</v>
      </c>
      <c r="AD51" s="32">
        <v>-27</v>
      </c>
      <c r="AE51" s="32">
        <v>-33</v>
      </c>
      <c r="AF51" s="32">
        <v>-19</v>
      </c>
      <c r="AG51" s="32">
        <v>-72</v>
      </c>
      <c r="AH51" s="32">
        <v>-2</v>
      </c>
      <c r="AI51" s="32">
        <v>50</v>
      </c>
      <c r="AJ51" s="32">
        <v>-8</v>
      </c>
      <c r="AK51" s="32">
        <v>-208</v>
      </c>
      <c r="AL51" s="32">
        <v>-1</v>
      </c>
      <c r="AM51" s="32">
        <v>-822</v>
      </c>
      <c r="AN51" s="32">
        <v>31</v>
      </c>
      <c r="AO51" s="32">
        <v>-44</v>
      </c>
      <c r="AP51" s="32">
        <f>0</f>
        <v>0</v>
      </c>
      <c r="AQ51" s="32">
        <f t="shared" si="11"/>
        <v>-165</v>
      </c>
      <c r="AR51" s="32">
        <f>-370</f>
        <v>-370</v>
      </c>
      <c r="AS51" s="32">
        <f t="shared" si="12"/>
        <v>-312</v>
      </c>
      <c r="AT51" s="32">
        <f>-2911</f>
        <v>-2911</v>
      </c>
      <c r="AU51" s="32">
        <f t="shared" si="13"/>
        <v>-613</v>
      </c>
    </row>
    <row r="52" spans="1:47" x14ac:dyDescent="0.2">
      <c r="A52" s="5" t="s">
        <v>256</v>
      </c>
      <c r="B52" s="32">
        <f t="shared" si="30"/>
        <v>234</v>
      </c>
      <c r="C52" s="32">
        <f t="shared" si="31"/>
        <v>363</v>
      </c>
      <c r="D52" s="32">
        <f t="shared" si="32"/>
        <v>85</v>
      </c>
      <c r="E52" s="32">
        <f t="shared" si="33"/>
        <v>174</v>
      </c>
      <c r="F52" s="32">
        <f t="shared" si="34"/>
        <v>66</v>
      </c>
      <c r="G52" s="32">
        <f t="shared" si="35"/>
        <v>25</v>
      </c>
      <c r="H52" s="32">
        <f t="shared" si="36"/>
        <v>93</v>
      </c>
      <c r="I52" s="32">
        <f t="shared" si="37"/>
        <v>6</v>
      </c>
      <c r="J52" s="32">
        <f t="shared" si="38"/>
        <v>0</v>
      </c>
      <c r="K52" s="32">
        <f t="shared" si="39"/>
        <v>2</v>
      </c>
      <c r="L52" s="32">
        <f t="shared" si="40"/>
        <v>7</v>
      </c>
      <c r="M52" s="32">
        <f t="shared" si="10"/>
        <v>64</v>
      </c>
      <c r="N52" s="32">
        <v>173</v>
      </c>
      <c r="O52" s="32">
        <f>1</f>
        <v>1</v>
      </c>
      <c r="P52" s="32">
        <f>3012</f>
        <v>3012</v>
      </c>
      <c r="R52" s="32">
        <v>53</v>
      </c>
      <c r="S52" s="32">
        <v>181</v>
      </c>
      <c r="T52" s="32">
        <v>23</v>
      </c>
      <c r="U52" s="32">
        <v>340</v>
      </c>
      <c r="V52" s="32">
        <v>17</v>
      </c>
      <c r="W52" s="32">
        <v>68</v>
      </c>
      <c r="X52" s="32">
        <v>79</v>
      </c>
      <c r="Y52" s="32">
        <v>95</v>
      </c>
      <c r="Z52" s="32">
        <v>21</v>
      </c>
      <c r="AA52" s="32">
        <v>45</v>
      </c>
      <c r="AB52" s="32">
        <v>17</v>
      </c>
      <c r="AC52" s="32">
        <v>8</v>
      </c>
      <c r="AD52" s="32">
        <v>317</v>
      </c>
      <c r="AE52" s="32">
        <v>-224</v>
      </c>
      <c r="AF52" s="32">
        <v>34</v>
      </c>
      <c r="AG52" s="32">
        <v>-28</v>
      </c>
      <c r="AH52" s="32">
        <v>18</v>
      </c>
      <c r="AI52" s="32">
        <v>-18</v>
      </c>
      <c r="AJ52" s="32">
        <v>29</v>
      </c>
      <c r="AK52" s="32">
        <v>-27</v>
      </c>
      <c r="AL52" s="32">
        <v>72</v>
      </c>
      <c r="AM52" s="32">
        <v>-65</v>
      </c>
      <c r="AN52" s="32">
        <v>-30</v>
      </c>
      <c r="AO52" s="32">
        <v>94</v>
      </c>
      <c r="AP52" s="32">
        <f>15</f>
        <v>15</v>
      </c>
      <c r="AQ52" s="32">
        <f t="shared" si="11"/>
        <v>158</v>
      </c>
      <c r="AR52" s="32">
        <f>0</f>
        <v>0</v>
      </c>
      <c r="AS52" s="32">
        <f t="shared" si="12"/>
        <v>1</v>
      </c>
      <c r="AT52" s="32">
        <f>2703</f>
        <v>2703</v>
      </c>
      <c r="AU52" s="32">
        <f t="shared" si="13"/>
        <v>309</v>
      </c>
    </row>
    <row r="53" spans="1:47" x14ac:dyDescent="0.2">
      <c r="A53" s="5" t="s">
        <v>257</v>
      </c>
      <c r="B53" s="32">
        <f t="shared" si="30"/>
        <v>-17</v>
      </c>
      <c r="C53" s="32">
        <f t="shared" si="31"/>
        <v>-8</v>
      </c>
      <c r="D53" s="32">
        <f t="shared" si="32"/>
        <v>-20</v>
      </c>
      <c r="E53" s="32">
        <f t="shared" si="33"/>
        <v>7</v>
      </c>
      <c r="F53" s="32">
        <f t="shared" si="34"/>
        <v>0</v>
      </c>
      <c r="G53" s="32">
        <f t="shared" si="35"/>
        <v>0</v>
      </c>
      <c r="H53" s="32">
        <f t="shared" si="36"/>
        <v>0</v>
      </c>
      <c r="I53" s="32">
        <f t="shared" si="37"/>
        <v>0</v>
      </c>
      <c r="J53" s="32">
        <f t="shared" si="38"/>
        <v>19</v>
      </c>
      <c r="K53" s="32">
        <f t="shared" si="39"/>
        <v>0</v>
      </c>
      <c r="L53" s="32">
        <f t="shared" si="40"/>
        <v>32</v>
      </c>
      <c r="M53" s="32">
        <f t="shared" si="10"/>
        <v>0</v>
      </c>
      <c r="N53" s="32">
        <v>1</v>
      </c>
      <c r="O53" s="32">
        <f>0</f>
        <v>0</v>
      </c>
      <c r="P53" s="32">
        <f>0</f>
        <v>0</v>
      </c>
      <c r="R53" s="32">
        <v>1</v>
      </c>
      <c r="S53" s="32">
        <v>-18</v>
      </c>
      <c r="T53" s="32">
        <v>0</v>
      </c>
      <c r="U53" s="32">
        <v>-8</v>
      </c>
      <c r="V53" s="32">
        <v>-7</v>
      </c>
      <c r="W53" s="32">
        <v>-13</v>
      </c>
      <c r="X53" s="32">
        <v>0</v>
      </c>
      <c r="Y53" s="32">
        <v>7</v>
      </c>
      <c r="Z53" s="32">
        <v>-3</v>
      </c>
      <c r="AA53" s="32">
        <v>3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0</v>
      </c>
      <c r="AI53" s="32">
        <v>19</v>
      </c>
      <c r="AJ53" s="32">
        <v>0</v>
      </c>
      <c r="AK53" s="32">
        <v>0</v>
      </c>
      <c r="AL53" s="32">
        <v>28</v>
      </c>
      <c r="AM53" s="32">
        <v>4</v>
      </c>
      <c r="AN53" s="32">
        <v>0</v>
      </c>
      <c r="AO53" s="32">
        <v>0</v>
      </c>
      <c r="AP53" s="32">
        <v>0</v>
      </c>
      <c r="AQ53" s="32">
        <f t="shared" si="11"/>
        <v>1</v>
      </c>
      <c r="AR53" s="32">
        <f>0</f>
        <v>0</v>
      </c>
      <c r="AS53" s="32">
        <f t="shared" si="12"/>
        <v>0</v>
      </c>
      <c r="AT53" s="32">
        <f>0</f>
        <v>0</v>
      </c>
      <c r="AU53" s="32">
        <f t="shared" si="13"/>
        <v>0</v>
      </c>
    </row>
    <row r="54" spans="1:47" x14ac:dyDescent="0.2">
      <c r="A54" s="5" t="s">
        <v>258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f t="shared" si="40"/>
        <v>-389</v>
      </c>
      <c r="M54" s="32">
        <f t="shared" si="10"/>
        <v>-247</v>
      </c>
      <c r="N54" s="32">
        <v>-9014</v>
      </c>
      <c r="O54" s="32">
        <f>0</f>
        <v>0</v>
      </c>
      <c r="P54" s="32">
        <f>0</f>
        <v>0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>
        <v>-389</v>
      </c>
      <c r="AN54" s="32">
        <v>-156</v>
      </c>
      <c r="AO54" s="32">
        <v>-91</v>
      </c>
      <c r="AP54" s="32">
        <v>0</v>
      </c>
      <c r="AQ54" s="32">
        <f t="shared" si="11"/>
        <v>-9014</v>
      </c>
      <c r="AR54" s="32">
        <f>0</f>
        <v>0</v>
      </c>
      <c r="AS54" s="32">
        <f t="shared" si="12"/>
        <v>0</v>
      </c>
      <c r="AT54" s="32">
        <f>0</f>
        <v>0</v>
      </c>
      <c r="AU54" s="32">
        <f t="shared" si="13"/>
        <v>0</v>
      </c>
    </row>
    <row r="55" spans="1:47" x14ac:dyDescent="0.2">
      <c r="A55" s="5" t="s">
        <v>280</v>
      </c>
      <c r="B55" s="32">
        <f t="shared" si="30"/>
        <v>0</v>
      </c>
      <c r="C55" s="32">
        <f t="shared" si="31"/>
        <v>0</v>
      </c>
      <c r="D55" s="32">
        <f t="shared" si="32"/>
        <v>10</v>
      </c>
      <c r="E55" s="32">
        <f t="shared" si="33"/>
        <v>0</v>
      </c>
      <c r="F55" s="32">
        <f t="shared" si="34"/>
        <v>0</v>
      </c>
      <c r="G55" s="32">
        <f t="shared" si="35"/>
        <v>0</v>
      </c>
      <c r="H55" s="32">
        <f t="shared" si="36"/>
        <v>0</v>
      </c>
      <c r="I55" s="32">
        <f t="shared" si="37"/>
        <v>0</v>
      </c>
      <c r="J55" s="32">
        <f t="shared" si="38"/>
        <v>-10481</v>
      </c>
      <c r="K55" s="32">
        <f t="shared" si="39"/>
        <v>0</v>
      </c>
      <c r="L55" s="32">
        <f t="shared" si="40"/>
        <v>0</v>
      </c>
      <c r="M55" s="32">
        <f t="shared" si="10"/>
        <v>536</v>
      </c>
      <c r="N55" s="32">
        <v>0</v>
      </c>
      <c r="O55" s="32">
        <f>0</f>
        <v>0</v>
      </c>
      <c r="P55" s="32">
        <f>0</f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10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0</v>
      </c>
      <c r="AH55" s="32">
        <v>-10481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533</v>
      </c>
      <c r="AO55" s="32">
        <v>3</v>
      </c>
      <c r="AP55" s="32">
        <v>0</v>
      </c>
      <c r="AQ55" s="32">
        <f t="shared" si="11"/>
        <v>0</v>
      </c>
      <c r="AR55" s="32">
        <f>0</f>
        <v>0</v>
      </c>
      <c r="AS55" s="32">
        <f t="shared" si="12"/>
        <v>0</v>
      </c>
      <c r="AT55" s="32">
        <f>0</f>
        <v>0</v>
      </c>
      <c r="AU55" s="32">
        <f t="shared" si="13"/>
        <v>0</v>
      </c>
    </row>
    <row r="56" spans="1:47" x14ac:dyDescent="0.2">
      <c r="A56" s="5" t="s">
        <v>259</v>
      </c>
      <c r="B56" s="32">
        <f t="shared" si="30"/>
        <v>-1027</v>
      </c>
      <c r="C56" s="32">
        <f t="shared" si="31"/>
        <v>-5506</v>
      </c>
      <c r="D56" s="32">
        <f t="shared" si="32"/>
        <v>0</v>
      </c>
      <c r="E56" s="32">
        <f t="shared" si="33"/>
        <v>0</v>
      </c>
      <c r="F56" s="32">
        <f t="shared" si="34"/>
        <v>0</v>
      </c>
      <c r="G56" s="32">
        <f t="shared" si="35"/>
        <v>-265</v>
      </c>
      <c r="H56" s="32">
        <f t="shared" si="36"/>
        <v>-263</v>
      </c>
      <c r="I56" s="32">
        <f t="shared" si="37"/>
        <v>-112</v>
      </c>
      <c r="J56" s="32">
        <f t="shared" si="38"/>
        <v>-75</v>
      </c>
      <c r="K56" s="32">
        <f t="shared" si="39"/>
        <v>-139</v>
      </c>
      <c r="L56" s="32">
        <f t="shared" si="40"/>
        <v>-4</v>
      </c>
      <c r="M56" s="32">
        <f t="shared" si="10"/>
        <v>-1</v>
      </c>
      <c r="N56" s="32">
        <v>0</v>
      </c>
      <c r="O56" s="32">
        <f>0</f>
        <v>0</v>
      </c>
      <c r="P56" s="32">
        <f>0</f>
        <v>0</v>
      </c>
      <c r="R56" s="32">
        <v>-493</v>
      </c>
      <c r="S56" s="32">
        <v>-534</v>
      </c>
      <c r="T56" s="32">
        <v>-1677</v>
      </c>
      <c r="U56" s="32">
        <v>-3829</v>
      </c>
      <c r="V56" s="32">
        <v>0</v>
      </c>
      <c r="W56" s="32">
        <v>0</v>
      </c>
      <c r="X56" s="32">
        <v>-964</v>
      </c>
      <c r="Y56" s="32">
        <v>964</v>
      </c>
      <c r="Z56" s="32">
        <v>-1182</v>
      </c>
      <c r="AA56" s="32">
        <v>1182</v>
      </c>
      <c r="AB56" s="32">
        <v>-128</v>
      </c>
      <c r="AC56" s="32">
        <v>-137</v>
      </c>
      <c r="AD56" s="32">
        <v>-377</v>
      </c>
      <c r="AE56" s="32">
        <v>114</v>
      </c>
      <c r="AF56" s="32">
        <v>-190</v>
      </c>
      <c r="AG56" s="32">
        <v>78</v>
      </c>
      <c r="AH56" s="32">
        <v>-826</v>
      </c>
      <c r="AI56" s="32">
        <v>751</v>
      </c>
      <c r="AJ56" s="32">
        <v>-104</v>
      </c>
      <c r="AK56" s="32">
        <v>-35</v>
      </c>
      <c r="AL56" s="32">
        <v>-6</v>
      </c>
      <c r="AM56" s="32">
        <v>2</v>
      </c>
      <c r="AN56" s="32">
        <v>-3</v>
      </c>
      <c r="AO56" s="32">
        <v>2</v>
      </c>
      <c r="AP56" s="32">
        <v>0</v>
      </c>
      <c r="AQ56" s="32">
        <f t="shared" si="11"/>
        <v>0</v>
      </c>
      <c r="AR56" s="32">
        <f>0</f>
        <v>0</v>
      </c>
      <c r="AS56" s="32">
        <f t="shared" si="12"/>
        <v>0</v>
      </c>
      <c r="AT56" s="32">
        <f>0</f>
        <v>0</v>
      </c>
      <c r="AU56" s="32">
        <f t="shared" si="13"/>
        <v>0</v>
      </c>
    </row>
    <row r="57" spans="1:47" x14ac:dyDescent="0.2">
      <c r="A57" s="5" t="s">
        <v>260</v>
      </c>
      <c r="B57" s="32">
        <f t="shared" si="30"/>
        <v>0</v>
      </c>
      <c r="C57" s="32">
        <f t="shared" si="31"/>
        <v>0</v>
      </c>
      <c r="D57" s="32">
        <f t="shared" si="32"/>
        <v>1606</v>
      </c>
      <c r="E57" s="32">
        <f t="shared" si="33"/>
        <v>3038</v>
      </c>
      <c r="F57" s="32">
        <f t="shared" si="34"/>
        <v>1155</v>
      </c>
      <c r="G57" s="32">
        <f t="shared" si="35"/>
        <v>507</v>
      </c>
      <c r="H57" s="32">
        <f t="shared" si="36"/>
        <v>385</v>
      </c>
      <c r="I57" s="32">
        <f t="shared" si="37"/>
        <v>153</v>
      </c>
      <c r="J57" s="32">
        <f t="shared" si="38"/>
        <v>1359</v>
      </c>
      <c r="K57" s="32">
        <f t="shared" si="39"/>
        <v>105</v>
      </c>
      <c r="L57" s="32">
        <f t="shared" si="40"/>
        <v>149</v>
      </c>
      <c r="M57" s="32">
        <f t="shared" si="10"/>
        <v>45</v>
      </c>
      <c r="N57" s="32">
        <f t="shared" si="10"/>
        <v>0</v>
      </c>
      <c r="O57" s="32">
        <f>0</f>
        <v>0</v>
      </c>
      <c r="P57" s="32">
        <f>0</f>
        <v>0</v>
      </c>
      <c r="R57" s="32">
        <v>0</v>
      </c>
      <c r="S57" s="32">
        <v>0</v>
      </c>
      <c r="T57" s="32">
        <v>0</v>
      </c>
      <c r="U57" s="32">
        <v>0</v>
      </c>
      <c r="V57" s="32">
        <v>2850</v>
      </c>
      <c r="W57" s="32">
        <v>-1244</v>
      </c>
      <c r="X57" s="32">
        <v>0</v>
      </c>
      <c r="Y57" s="32">
        <v>3038</v>
      </c>
      <c r="Z57" s="32">
        <v>584</v>
      </c>
      <c r="AA57" s="32">
        <v>571</v>
      </c>
      <c r="AB57" s="32">
        <v>15</v>
      </c>
      <c r="AC57" s="32">
        <v>492</v>
      </c>
      <c r="AD57" s="32">
        <v>40</v>
      </c>
      <c r="AE57" s="32">
        <v>345</v>
      </c>
      <c r="AF57" s="32">
        <v>153</v>
      </c>
      <c r="AG57" s="32">
        <v>0</v>
      </c>
      <c r="AH57" s="32">
        <v>885</v>
      </c>
      <c r="AI57" s="32">
        <v>474</v>
      </c>
      <c r="AJ57" s="32">
        <v>105</v>
      </c>
      <c r="AK57" s="32">
        <v>0</v>
      </c>
      <c r="AL57" s="32">
        <v>125</v>
      </c>
      <c r="AM57" s="32">
        <v>24</v>
      </c>
      <c r="AN57" s="32">
        <v>45</v>
      </c>
      <c r="AO57" s="32">
        <v>0</v>
      </c>
      <c r="AP57" s="32">
        <v>0</v>
      </c>
      <c r="AQ57" s="32">
        <f t="shared" si="11"/>
        <v>0</v>
      </c>
      <c r="AR57" s="32">
        <f>0</f>
        <v>0</v>
      </c>
      <c r="AS57" s="32">
        <f t="shared" si="12"/>
        <v>0</v>
      </c>
      <c r="AT57" s="32">
        <f>-23</f>
        <v>-23</v>
      </c>
      <c r="AU57" s="32">
        <f t="shared" si="13"/>
        <v>23</v>
      </c>
    </row>
    <row r="58" spans="1:47" x14ac:dyDescent="0.2">
      <c r="A58" s="5" t="s">
        <v>313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>
        <f>-514</f>
        <v>-514</v>
      </c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>
        <f t="shared" si="13"/>
        <v>-514</v>
      </c>
    </row>
    <row r="59" spans="1:47" x14ac:dyDescent="0.2">
      <c r="A59" s="48" t="s">
        <v>261</v>
      </c>
      <c r="B59" s="76">
        <f t="shared" ref="B59:O59" si="41">SUM(B47:B58)</f>
        <v>-1532</v>
      </c>
      <c r="C59" s="76">
        <f t="shared" si="41"/>
        <v>-5743</v>
      </c>
      <c r="D59" s="76">
        <f t="shared" si="41"/>
        <v>1821</v>
      </c>
      <c r="E59" s="76">
        <f t="shared" si="41"/>
        <v>3277</v>
      </c>
      <c r="F59" s="76">
        <f t="shared" si="41"/>
        <v>2228</v>
      </c>
      <c r="G59" s="76">
        <f t="shared" si="41"/>
        <v>367</v>
      </c>
      <c r="H59" s="76">
        <f t="shared" si="41"/>
        <v>892</v>
      </c>
      <c r="I59" s="76">
        <f t="shared" si="41"/>
        <v>596</v>
      </c>
      <c r="J59" s="76">
        <f t="shared" si="41"/>
        <v>-7037</v>
      </c>
      <c r="K59" s="76">
        <f t="shared" si="41"/>
        <v>1164</v>
      </c>
      <c r="L59" s="76">
        <f t="shared" si="41"/>
        <v>915</v>
      </c>
      <c r="M59" s="76">
        <f t="shared" si="41"/>
        <v>416</v>
      </c>
      <c r="N59" s="76">
        <f t="shared" si="41"/>
        <v>-8778</v>
      </c>
      <c r="O59" s="76">
        <f t="shared" si="41"/>
        <v>-4568</v>
      </c>
      <c r="P59" s="76">
        <f>SUM(P47:P58)</f>
        <v>-358</v>
      </c>
      <c r="Q59" s="30"/>
      <c r="R59" s="76">
        <v>-524</v>
      </c>
      <c r="S59" s="76">
        <v>-1008</v>
      </c>
      <c r="T59" s="76">
        <v>-1670</v>
      </c>
      <c r="U59" s="76">
        <v>-4073</v>
      </c>
      <c r="V59" s="76">
        <v>3071</v>
      </c>
      <c r="W59" s="76">
        <v>-1250</v>
      </c>
      <c r="X59" s="76">
        <v>-871</v>
      </c>
      <c r="Y59" s="76">
        <v>4148</v>
      </c>
      <c r="Z59" s="76">
        <v>152</v>
      </c>
      <c r="AA59" s="76">
        <v>2076</v>
      </c>
      <c r="AB59" s="76">
        <v>270</v>
      </c>
      <c r="AC59" s="76">
        <v>97</v>
      </c>
      <c r="AD59" s="76">
        <v>443</v>
      </c>
      <c r="AE59" s="76">
        <v>449</v>
      </c>
      <c r="AF59" s="76">
        <v>157</v>
      </c>
      <c r="AG59" s="76">
        <v>439</v>
      </c>
      <c r="AH59" s="76">
        <v>-9452</v>
      </c>
      <c r="AI59" s="76">
        <v>2415</v>
      </c>
      <c r="AJ59" s="76">
        <v>593</v>
      </c>
      <c r="AK59" s="76">
        <v>571</v>
      </c>
      <c r="AL59" s="77">
        <v>969</v>
      </c>
      <c r="AM59" s="77">
        <v>-54</v>
      </c>
      <c r="AN59" s="77">
        <f>SUM(AN47:AN57)</f>
        <v>806</v>
      </c>
      <c r="AO59" s="77">
        <v>-390</v>
      </c>
      <c r="AP59" s="77">
        <f>SUM(AP47:AP57)</f>
        <v>168</v>
      </c>
      <c r="AQ59" s="77">
        <f t="shared" si="11"/>
        <v>-8946</v>
      </c>
      <c r="AR59" s="77">
        <f>SUM(AR47:AR57)</f>
        <v>-641</v>
      </c>
      <c r="AS59" s="77">
        <f t="shared" ref="AS59" si="42">SUM(AS47:AS57)</f>
        <v>-3927</v>
      </c>
      <c r="AT59" s="77">
        <f>SUM(AT47:AT57)</f>
        <v>-1175</v>
      </c>
      <c r="AU59" s="77">
        <f t="shared" si="13"/>
        <v>817</v>
      </c>
    </row>
    <row r="60" spans="1:47" x14ac:dyDescent="0.2">
      <c r="A60" s="50"/>
      <c r="B60" s="32"/>
      <c r="C60" s="32"/>
      <c r="D60" s="32"/>
      <c r="E60" s="32"/>
      <c r="F60" s="32"/>
      <c r="G60" s="32"/>
      <c r="H60" s="32"/>
      <c r="I60" s="32"/>
      <c r="J60" s="32"/>
      <c r="K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R60" s="5"/>
      <c r="AS60" s="5"/>
      <c r="AT60" s="5"/>
      <c r="AU60" s="5"/>
    </row>
    <row r="61" spans="1:47" x14ac:dyDescent="0.2">
      <c r="A61" s="4" t="s">
        <v>262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R61" s="5"/>
      <c r="AS61" s="5"/>
      <c r="AT61" s="5"/>
      <c r="AU61" s="5"/>
    </row>
    <row r="62" spans="1:47" x14ac:dyDescent="0.2">
      <c r="A62" s="5" t="s">
        <v>263</v>
      </c>
      <c r="B62" s="32">
        <f t="shared" ref="B62:B77" si="43">SUM(R62:S62)</f>
        <v>13487</v>
      </c>
      <c r="C62" s="32">
        <f t="shared" ref="C62:C77" si="44">SUM(T62:U62)</f>
        <v>0</v>
      </c>
      <c r="D62" s="32">
        <f t="shared" ref="D62:D77" si="45">SUM(V62:W62)</f>
        <v>0</v>
      </c>
      <c r="E62" s="32">
        <f t="shared" ref="E62:E77" si="46">SUM(X62:Y62)</f>
        <v>0</v>
      </c>
      <c r="F62" s="32">
        <f t="shared" ref="F62:F77" si="47">SUM(Z62:AA62)</f>
        <v>0</v>
      </c>
      <c r="G62" s="32">
        <f t="shared" ref="G62:G77" si="48">SUM(AB62:AC62)</f>
        <v>0</v>
      </c>
      <c r="H62" s="32">
        <f t="shared" ref="H62:H77" si="49">SUM(AD62:AE62)</f>
        <v>0</v>
      </c>
      <c r="I62" s="32">
        <f t="shared" ref="I62:I77" si="50">SUM(AF62:AG62)</f>
        <v>0</v>
      </c>
      <c r="J62" s="32">
        <f t="shared" ref="J62:J77" si="51">SUM(AH62:AI62)</f>
        <v>0</v>
      </c>
      <c r="K62" s="32">
        <f t="shared" ref="K62:K77" si="52">SUM(AJ62:AK62)</f>
        <v>0</v>
      </c>
      <c r="L62" s="32">
        <f>SUM(AL62:AM62)</f>
        <v>0</v>
      </c>
      <c r="M62" s="32">
        <f t="shared" si="10"/>
        <v>0</v>
      </c>
      <c r="N62" s="32">
        <f t="shared" si="10"/>
        <v>0</v>
      </c>
      <c r="O62" s="32">
        <f>0</f>
        <v>0</v>
      </c>
      <c r="P62" s="32">
        <f>0</f>
        <v>0</v>
      </c>
      <c r="R62" s="32">
        <v>13487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/>
      <c r="AQ62" s="32">
        <f t="shared" si="11"/>
        <v>0</v>
      </c>
      <c r="AR62" s="32">
        <f>0</f>
        <v>0</v>
      </c>
      <c r="AS62" s="32">
        <f t="shared" si="12"/>
        <v>0</v>
      </c>
      <c r="AT62" s="32">
        <f>0</f>
        <v>0</v>
      </c>
      <c r="AU62" s="32">
        <f t="shared" si="13"/>
        <v>0</v>
      </c>
    </row>
    <row r="63" spans="1:47" x14ac:dyDescent="0.2">
      <c r="A63" s="5" t="s">
        <v>264</v>
      </c>
      <c r="B63" s="32">
        <f t="shared" si="43"/>
        <v>0</v>
      </c>
      <c r="C63" s="32">
        <f t="shared" si="44"/>
        <v>0</v>
      </c>
      <c r="D63" s="32">
        <f t="shared" si="45"/>
        <v>0</v>
      </c>
      <c r="E63" s="32">
        <f t="shared" si="46"/>
        <v>0</v>
      </c>
      <c r="F63" s="32">
        <f t="shared" si="47"/>
        <v>0</v>
      </c>
      <c r="G63" s="32">
        <f t="shared" si="48"/>
        <v>0</v>
      </c>
      <c r="H63" s="32">
        <f t="shared" si="49"/>
        <v>0</v>
      </c>
      <c r="I63" s="32">
        <f t="shared" si="50"/>
        <v>0</v>
      </c>
      <c r="J63" s="32">
        <f t="shared" si="51"/>
        <v>0</v>
      </c>
      <c r="K63" s="32">
        <f t="shared" si="52"/>
        <v>0</v>
      </c>
      <c r="L63" s="32">
        <f t="shared" ref="L63:L70" si="53">SUM(AL63:AM63)</f>
        <v>10881</v>
      </c>
      <c r="M63" s="32">
        <f t="shared" si="10"/>
        <v>0</v>
      </c>
      <c r="N63" s="32">
        <f t="shared" si="10"/>
        <v>0</v>
      </c>
      <c r="O63" s="32">
        <f>0</f>
        <v>0</v>
      </c>
      <c r="P63" s="32">
        <f>0</f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0</v>
      </c>
      <c r="AJ63" s="32">
        <v>0</v>
      </c>
      <c r="AK63" s="32">
        <v>0</v>
      </c>
      <c r="AL63" s="32">
        <v>11003</v>
      </c>
      <c r="AM63" s="32">
        <v>-122</v>
      </c>
      <c r="AN63" s="32">
        <v>0</v>
      </c>
      <c r="AO63" s="32">
        <v>0</v>
      </c>
      <c r="AP63" s="32"/>
      <c r="AQ63" s="32">
        <f t="shared" si="11"/>
        <v>0</v>
      </c>
      <c r="AR63" s="32">
        <f>0</f>
        <v>0</v>
      </c>
      <c r="AS63" s="32">
        <f t="shared" si="12"/>
        <v>0</v>
      </c>
      <c r="AT63" s="32">
        <f>0</f>
        <v>0</v>
      </c>
      <c r="AU63" s="32">
        <f t="shared" si="13"/>
        <v>0</v>
      </c>
    </row>
    <row r="64" spans="1:47" x14ac:dyDescent="0.2">
      <c r="A64" s="5" t="s">
        <v>265</v>
      </c>
      <c r="B64" s="32">
        <f t="shared" si="43"/>
        <v>6353</v>
      </c>
      <c r="C64" s="32">
        <f t="shared" si="44"/>
        <v>12140</v>
      </c>
      <c r="D64" s="32">
        <f t="shared" si="45"/>
        <v>5937</v>
      </c>
      <c r="E64" s="32">
        <f t="shared" si="46"/>
        <v>10763</v>
      </c>
      <c r="F64" s="32">
        <f t="shared" si="47"/>
        <v>9480</v>
      </c>
      <c r="G64" s="32">
        <f t="shared" si="48"/>
        <v>9016</v>
      </c>
      <c r="H64" s="32">
        <f t="shared" si="49"/>
        <v>15889</v>
      </c>
      <c r="I64" s="32">
        <f t="shared" si="50"/>
        <v>4707</v>
      </c>
      <c r="J64" s="32">
        <f t="shared" si="51"/>
        <v>30332</v>
      </c>
      <c r="K64" s="32">
        <f t="shared" si="52"/>
        <v>8691</v>
      </c>
      <c r="L64" s="32">
        <f t="shared" si="53"/>
        <v>49071</v>
      </c>
      <c r="M64" s="32">
        <f t="shared" si="10"/>
        <v>43008</v>
      </c>
      <c r="N64" s="32">
        <v>73292</v>
      </c>
      <c r="O64" s="32">
        <f>120278</f>
        <v>120278</v>
      </c>
      <c r="P64" s="32">
        <f>116621</f>
        <v>116621</v>
      </c>
      <c r="R64" s="32">
        <v>2280</v>
      </c>
      <c r="S64" s="32">
        <v>4073</v>
      </c>
      <c r="T64" s="32">
        <v>2769</v>
      </c>
      <c r="U64" s="32">
        <v>9371</v>
      </c>
      <c r="V64" s="32">
        <v>2785</v>
      </c>
      <c r="W64" s="32">
        <v>3152</v>
      </c>
      <c r="X64" s="32">
        <v>5627</v>
      </c>
      <c r="Y64" s="32">
        <v>5136</v>
      </c>
      <c r="Z64" s="32">
        <v>4707</v>
      </c>
      <c r="AA64" s="32">
        <v>4773</v>
      </c>
      <c r="AB64" s="32">
        <v>5882</v>
      </c>
      <c r="AC64" s="32">
        <v>3134</v>
      </c>
      <c r="AD64" s="32">
        <v>4671</v>
      </c>
      <c r="AE64" s="32">
        <v>11218</v>
      </c>
      <c r="AF64" s="32">
        <v>3609</v>
      </c>
      <c r="AG64" s="32">
        <v>1098</v>
      </c>
      <c r="AH64" s="32">
        <v>15719</v>
      </c>
      <c r="AI64" s="32">
        <v>14613</v>
      </c>
      <c r="AJ64" s="32">
        <v>1367</v>
      </c>
      <c r="AK64" s="32">
        <v>7324</v>
      </c>
      <c r="AL64" s="32">
        <v>17855</v>
      </c>
      <c r="AM64" s="32">
        <v>31216</v>
      </c>
      <c r="AN64" s="32">
        <v>22739</v>
      </c>
      <c r="AO64" s="32">
        <v>20269</v>
      </c>
      <c r="AP64" s="32">
        <v>35652</v>
      </c>
      <c r="AQ64" s="32">
        <f t="shared" si="11"/>
        <v>37640</v>
      </c>
      <c r="AR64" s="32">
        <f>51071</f>
        <v>51071</v>
      </c>
      <c r="AS64" s="32">
        <f t="shared" si="12"/>
        <v>69207</v>
      </c>
      <c r="AT64" s="32">
        <f>51677</f>
        <v>51677</v>
      </c>
      <c r="AU64" s="32">
        <f t="shared" si="13"/>
        <v>64944</v>
      </c>
    </row>
    <row r="65" spans="1:47" x14ac:dyDescent="0.2">
      <c r="A65" s="5" t="s">
        <v>266</v>
      </c>
      <c r="B65" s="32">
        <f t="shared" si="43"/>
        <v>-4821</v>
      </c>
      <c r="C65" s="32">
        <f t="shared" si="44"/>
        <v>-5552</v>
      </c>
      <c r="D65" s="32">
        <f t="shared" si="45"/>
        <v>-9668</v>
      </c>
      <c r="E65" s="32">
        <f t="shared" si="46"/>
        <v>-8498</v>
      </c>
      <c r="F65" s="32">
        <f t="shared" si="47"/>
        <v>-6281</v>
      </c>
      <c r="G65" s="32">
        <f t="shared" si="48"/>
        <v>-10404</v>
      </c>
      <c r="H65" s="32">
        <f t="shared" si="49"/>
        <v>-10009</v>
      </c>
      <c r="I65" s="32">
        <f t="shared" si="50"/>
        <v>-7719</v>
      </c>
      <c r="J65" s="32">
        <f t="shared" si="51"/>
        <v>-4432</v>
      </c>
      <c r="K65" s="32">
        <f t="shared" si="52"/>
        <v>-10108</v>
      </c>
      <c r="L65" s="32">
        <f t="shared" si="53"/>
        <v>-14635</v>
      </c>
      <c r="M65" s="32">
        <f t="shared" si="10"/>
        <v>-11166</v>
      </c>
      <c r="N65" s="32">
        <v>-29150</v>
      </c>
      <c r="O65" s="32">
        <f>-29746</f>
        <v>-29746</v>
      </c>
      <c r="P65" s="32">
        <f>-34989</f>
        <v>-34989</v>
      </c>
      <c r="R65" s="32">
        <v>-777</v>
      </c>
      <c r="S65" s="32">
        <v>-4044</v>
      </c>
      <c r="T65" s="32">
        <v>-2450</v>
      </c>
      <c r="U65" s="32">
        <v>-3102</v>
      </c>
      <c r="V65" s="32">
        <v>-6624</v>
      </c>
      <c r="W65" s="32">
        <v>-3044</v>
      </c>
      <c r="X65" s="32">
        <v>-4278</v>
      </c>
      <c r="Y65" s="32">
        <v>-4220</v>
      </c>
      <c r="Z65" s="32">
        <v>-2323</v>
      </c>
      <c r="AA65" s="32">
        <v>-3958</v>
      </c>
      <c r="AB65" s="32">
        <v>-3635</v>
      </c>
      <c r="AC65" s="32">
        <v>-6769</v>
      </c>
      <c r="AD65" s="32">
        <v>-3678</v>
      </c>
      <c r="AE65" s="32">
        <v>-6331</v>
      </c>
      <c r="AF65" s="32">
        <v>-4716</v>
      </c>
      <c r="AG65" s="32">
        <v>-3003</v>
      </c>
      <c r="AH65" s="32">
        <v>-2126</v>
      </c>
      <c r="AI65" s="32">
        <v>-2306</v>
      </c>
      <c r="AJ65" s="32">
        <v>-4958</v>
      </c>
      <c r="AK65" s="32">
        <v>-5150</v>
      </c>
      <c r="AL65" s="32">
        <v>-7361</v>
      </c>
      <c r="AM65" s="32">
        <v>-7274</v>
      </c>
      <c r="AN65" s="32">
        <v>-6493</v>
      </c>
      <c r="AO65" s="32">
        <v>-4673</v>
      </c>
      <c r="AP65" s="32">
        <v>-13683</v>
      </c>
      <c r="AQ65" s="32">
        <f t="shared" si="11"/>
        <v>-15467</v>
      </c>
      <c r="AR65" s="32">
        <f>-11014</f>
        <v>-11014</v>
      </c>
      <c r="AS65" s="32">
        <f t="shared" si="12"/>
        <v>-18732</v>
      </c>
      <c r="AT65" s="32">
        <f>-14598</f>
        <v>-14598</v>
      </c>
      <c r="AU65" s="32">
        <f t="shared" si="13"/>
        <v>-20391</v>
      </c>
    </row>
    <row r="66" spans="1:47" x14ac:dyDescent="0.2">
      <c r="A66" s="5" t="s">
        <v>267</v>
      </c>
      <c r="B66" s="32">
        <f t="shared" si="43"/>
        <v>-3</v>
      </c>
      <c r="C66" s="32">
        <f t="shared" si="44"/>
        <v>-3</v>
      </c>
      <c r="D66" s="32">
        <f t="shared" si="45"/>
        <v>-10</v>
      </c>
      <c r="E66" s="32">
        <f t="shared" si="46"/>
        <v>-83</v>
      </c>
      <c r="F66" s="32">
        <f t="shared" si="47"/>
        <v>-20</v>
      </c>
      <c r="G66" s="32">
        <f t="shared" si="48"/>
        <v>-94</v>
      </c>
      <c r="H66" s="32">
        <f t="shared" si="49"/>
        <v>-29</v>
      </c>
      <c r="I66" s="32">
        <f t="shared" si="50"/>
        <v>0</v>
      </c>
      <c r="J66" s="32">
        <f t="shared" si="51"/>
        <v>-14600</v>
      </c>
      <c r="K66" s="32">
        <f t="shared" si="52"/>
        <v>0</v>
      </c>
      <c r="L66" s="32">
        <f t="shared" si="53"/>
        <v>0</v>
      </c>
      <c r="M66" s="32">
        <f t="shared" si="10"/>
        <v>0</v>
      </c>
      <c r="N66" s="32">
        <f t="shared" si="10"/>
        <v>0</v>
      </c>
      <c r="O66" s="32">
        <f t="shared" si="10"/>
        <v>0</v>
      </c>
      <c r="P66" s="32">
        <f>0</f>
        <v>0</v>
      </c>
      <c r="R66" s="32">
        <v>0</v>
      </c>
      <c r="S66" s="32">
        <v>-3</v>
      </c>
      <c r="T66" s="32">
        <v>0</v>
      </c>
      <c r="U66" s="32">
        <v>-3</v>
      </c>
      <c r="V66" s="32">
        <v>0</v>
      </c>
      <c r="W66" s="32">
        <v>-10</v>
      </c>
      <c r="X66" s="32">
        <v>0</v>
      </c>
      <c r="Y66" s="32">
        <v>-83</v>
      </c>
      <c r="Z66" s="32">
        <v>-66</v>
      </c>
      <c r="AA66" s="32">
        <v>46</v>
      </c>
      <c r="AB66" s="32">
        <v>-38</v>
      </c>
      <c r="AC66" s="32">
        <v>-56</v>
      </c>
      <c r="AD66" s="32">
        <v>-30</v>
      </c>
      <c r="AE66" s="32">
        <v>1</v>
      </c>
      <c r="AF66" s="32">
        <v>0</v>
      </c>
      <c r="AG66" s="32">
        <v>0</v>
      </c>
      <c r="AH66" s="32">
        <v>0</v>
      </c>
      <c r="AI66" s="32">
        <v>-14600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f t="shared" si="11"/>
        <v>0</v>
      </c>
      <c r="AR66" s="32">
        <f>0</f>
        <v>0</v>
      </c>
      <c r="AS66" s="32">
        <f t="shared" si="12"/>
        <v>0</v>
      </c>
      <c r="AT66" s="32">
        <f>0</f>
        <v>0</v>
      </c>
      <c r="AU66" s="32">
        <f t="shared" si="13"/>
        <v>0</v>
      </c>
    </row>
    <row r="67" spans="1:47" x14ac:dyDescent="0.2">
      <c r="A67" s="5" t="s">
        <v>268</v>
      </c>
      <c r="B67" s="32">
        <f t="shared" si="43"/>
        <v>24</v>
      </c>
      <c r="C67" s="32">
        <f t="shared" si="44"/>
        <v>0</v>
      </c>
      <c r="D67" s="32">
        <f t="shared" si="45"/>
        <v>0</v>
      </c>
      <c r="E67" s="32">
        <f t="shared" si="46"/>
        <v>0</v>
      </c>
      <c r="F67" s="32">
        <f t="shared" si="47"/>
        <v>0</v>
      </c>
      <c r="G67" s="32">
        <f t="shared" si="48"/>
        <v>0</v>
      </c>
      <c r="H67" s="32">
        <f t="shared" si="49"/>
        <v>0</v>
      </c>
      <c r="I67" s="32">
        <f t="shared" si="50"/>
        <v>0</v>
      </c>
      <c r="J67" s="32">
        <f t="shared" si="51"/>
        <v>0</v>
      </c>
      <c r="K67" s="32">
        <f t="shared" si="52"/>
        <v>0</v>
      </c>
      <c r="L67" s="32">
        <f t="shared" si="53"/>
        <v>0</v>
      </c>
      <c r="M67" s="32">
        <f t="shared" si="10"/>
        <v>0</v>
      </c>
      <c r="N67" s="32">
        <f t="shared" si="10"/>
        <v>0</v>
      </c>
      <c r="O67" s="32">
        <f t="shared" si="10"/>
        <v>0</v>
      </c>
      <c r="P67" s="32">
        <f>0</f>
        <v>0</v>
      </c>
      <c r="R67" s="32">
        <v>24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f t="shared" si="11"/>
        <v>0</v>
      </c>
      <c r="AR67" s="32">
        <f>0</f>
        <v>0</v>
      </c>
      <c r="AS67" s="32">
        <f t="shared" si="12"/>
        <v>0</v>
      </c>
      <c r="AT67" s="32">
        <f>0</f>
        <v>0</v>
      </c>
      <c r="AU67" s="32">
        <f t="shared" si="13"/>
        <v>0</v>
      </c>
    </row>
    <row r="68" spans="1:47" x14ac:dyDescent="0.2">
      <c r="A68" s="5" t="s">
        <v>269</v>
      </c>
      <c r="B68" s="32">
        <f t="shared" si="43"/>
        <v>-459</v>
      </c>
      <c r="C68" s="32">
        <f t="shared" si="44"/>
        <v>-13</v>
      </c>
      <c r="D68" s="32">
        <f t="shared" si="45"/>
        <v>0</v>
      </c>
      <c r="E68" s="32">
        <f t="shared" si="46"/>
        <v>16</v>
      </c>
      <c r="F68" s="32">
        <f t="shared" si="47"/>
        <v>16</v>
      </c>
      <c r="G68" s="32">
        <f t="shared" si="48"/>
        <v>0</v>
      </c>
      <c r="H68" s="32">
        <f t="shared" si="49"/>
        <v>-628</v>
      </c>
      <c r="I68" s="32">
        <f t="shared" si="50"/>
        <v>-651</v>
      </c>
      <c r="J68" s="32">
        <f t="shared" si="51"/>
        <v>0</v>
      </c>
      <c r="K68" s="32">
        <f t="shared" si="52"/>
        <v>0</v>
      </c>
      <c r="L68" s="32">
        <f t="shared" si="53"/>
        <v>0</v>
      </c>
      <c r="M68" s="32">
        <f t="shared" si="10"/>
        <v>0</v>
      </c>
      <c r="N68" s="32">
        <f t="shared" si="10"/>
        <v>0</v>
      </c>
      <c r="O68" s="32">
        <f t="shared" si="10"/>
        <v>0</v>
      </c>
      <c r="P68" s="32">
        <f>0</f>
        <v>0</v>
      </c>
      <c r="R68" s="32">
        <v>0</v>
      </c>
      <c r="S68" s="32">
        <v>-459</v>
      </c>
      <c r="T68" s="32">
        <v>-13</v>
      </c>
      <c r="U68" s="32">
        <v>0</v>
      </c>
      <c r="V68" s="32">
        <v>0</v>
      </c>
      <c r="W68" s="32">
        <v>0</v>
      </c>
      <c r="X68" s="32">
        <v>16</v>
      </c>
      <c r="Y68" s="32">
        <v>0</v>
      </c>
      <c r="Z68" s="32">
        <v>0</v>
      </c>
      <c r="AA68" s="32">
        <v>16</v>
      </c>
      <c r="AB68" s="32">
        <v>0</v>
      </c>
      <c r="AC68" s="32">
        <v>0</v>
      </c>
      <c r="AD68" s="32">
        <v>0</v>
      </c>
      <c r="AE68" s="32">
        <v>-628</v>
      </c>
      <c r="AF68" s="32">
        <v>-651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f t="shared" si="11"/>
        <v>0</v>
      </c>
      <c r="AR68" s="32">
        <f>0</f>
        <v>0</v>
      </c>
      <c r="AS68" s="32">
        <f t="shared" si="12"/>
        <v>0</v>
      </c>
      <c r="AT68" s="32">
        <f>0</f>
        <v>0</v>
      </c>
      <c r="AU68" s="32">
        <f t="shared" si="13"/>
        <v>0</v>
      </c>
    </row>
    <row r="69" spans="1:47" x14ac:dyDescent="0.2">
      <c r="A69" s="5" t="s">
        <v>270</v>
      </c>
      <c r="B69" s="32">
        <f t="shared" si="43"/>
        <v>0</v>
      </c>
      <c r="C69" s="32">
        <f t="shared" si="44"/>
        <v>0</v>
      </c>
      <c r="D69" s="32">
        <f t="shared" si="45"/>
        <v>0</v>
      </c>
      <c r="E69" s="32">
        <f t="shared" si="46"/>
        <v>0</v>
      </c>
      <c r="F69" s="32">
        <f t="shared" si="47"/>
        <v>0</v>
      </c>
      <c r="G69" s="32">
        <f t="shared" si="48"/>
        <v>0</v>
      </c>
      <c r="H69" s="32">
        <f t="shared" si="49"/>
        <v>0</v>
      </c>
      <c r="I69" s="32">
        <f t="shared" si="50"/>
        <v>0</v>
      </c>
      <c r="J69" s="32">
        <f t="shared" si="51"/>
        <v>-939</v>
      </c>
      <c r="K69" s="32">
        <f t="shared" si="52"/>
        <v>-645</v>
      </c>
      <c r="L69" s="32">
        <f t="shared" si="53"/>
        <v>-1775</v>
      </c>
      <c r="M69" s="32">
        <f t="shared" si="10"/>
        <v>-2144</v>
      </c>
      <c r="N69" s="32">
        <v>-2966</v>
      </c>
      <c r="O69" s="32">
        <f>-1763</f>
        <v>-1763</v>
      </c>
      <c r="P69" s="32">
        <f>-1171</f>
        <v>-1171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-363</v>
      </c>
      <c r="AI69" s="32">
        <v>-576</v>
      </c>
      <c r="AJ69" s="32">
        <v>-52</v>
      </c>
      <c r="AK69" s="32">
        <v>-593</v>
      </c>
      <c r="AL69" s="32">
        <v>-707</v>
      </c>
      <c r="AM69" s="32">
        <v>-1068</v>
      </c>
      <c r="AN69" s="32">
        <v>-590</v>
      </c>
      <c r="AO69" s="32">
        <v>-1554</v>
      </c>
      <c r="AP69" s="32">
        <v>-1168</v>
      </c>
      <c r="AQ69" s="32">
        <f t="shared" si="11"/>
        <v>-1798</v>
      </c>
      <c r="AR69" s="32">
        <f>-426</f>
        <v>-426</v>
      </c>
      <c r="AS69" s="32">
        <f t="shared" si="12"/>
        <v>-1337</v>
      </c>
      <c r="AT69" s="32">
        <f>-223</f>
        <v>-223</v>
      </c>
      <c r="AU69" s="32">
        <f t="shared" si="13"/>
        <v>-948</v>
      </c>
    </row>
    <row r="70" spans="1:47" x14ac:dyDescent="0.2">
      <c r="A70" s="5" t="s">
        <v>271</v>
      </c>
      <c r="B70" s="32">
        <f t="shared" si="43"/>
        <v>0</v>
      </c>
      <c r="C70" s="32">
        <f t="shared" si="44"/>
        <v>0</v>
      </c>
      <c r="D70" s="32">
        <f t="shared" si="45"/>
        <v>0</v>
      </c>
      <c r="E70" s="32">
        <f t="shared" si="46"/>
        <v>-1124</v>
      </c>
      <c r="F70" s="32">
        <f t="shared" si="47"/>
        <v>-2452</v>
      </c>
      <c r="G70" s="32">
        <f t="shared" si="48"/>
        <v>-1504</v>
      </c>
      <c r="H70" s="32">
        <f t="shared" si="49"/>
        <v>-2542</v>
      </c>
      <c r="I70" s="32">
        <f t="shared" si="50"/>
        <v>-3567</v>
      </c>
      <c r="J70" s="32">
        <f t="shared" si="51"/>
        <v>-3599</v>
      </c>
      <c r="K70" s="32">
        <f t="shared" si="52"/>
        <v>-3527</v>
      </c>
      <c r="L70" s="32">
        <f t="shared" si="53"/>
        <v>-3613</v>
      </c>
      <c r="M70" s="32">
        <f>SUM(AN70:AO70)</f>
        <v>0</v>
      </c>
      <c r="N70" s="32">
        <f ca="1">SUM(AP70:AQ70)</f>
        <v>0</v>
      </c>
      <c r="O70" s="32">
        <f ca="1">SUM(AR70:AS70)</f>
        <v>0</v>
      </c>
      <c r="P70" s="32">
        <f ca="1">SUM(AT70:AU70)</f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-1124</v>
      </c>
      <c r="Z70" s="32">
        <v>-1834</v>
      </c>
      <c r="AA70" s="32">
        <v>-618</v>
      </c>
      <c r="AB70" s="32">
        <v>-961</v>
      </c>
      <c r="AC70" s="32">
        <v>-543</v>
      </c>
      <c r="AD70" s="32">
        <v>0</v>
      </c>
      <c r="AE70" s="32">
        <v>-2542</v>
      </c>
      <c r="AF70" s="32">
        <v>0</v>
      </c>
      <c r="AG70" s="32">
        <v>-3567</v>
      </c>
      <c r="AH70" s="32">
        <v>-13</v>
      </c>
      <c r="AI70" s="32">
        <v>-3586</v>
      </c>
      <c r="AJ70" s="32">
        <v>0</v>
      </c>
      <c r="AK70" s="32">
        <v>-3527</v>
      </c>
      <c r="AL70" s="32">
        <v>0</v>
      </c>
      <c r="AM70" s="32">
        <v>-3613</v>
      </c>
      <c r="AN70" s="32">
        <v>0</v>
      </c>
      <c r="AO70" s="32">
        <v>0</v>
      </c>
      <c r="AP70" s="32">
        <v>0</v>
      </c>
      <c r="AQ70" s="32">
        <f t="shared" ca="1" si="11"/>
        <v>0</v>
      </c>
      <c r="AR70" s="32">
        <f>0</f>
        <v>0</v>
      </c>
      <c r="AS70" s="32">
        <f t="shared" ca="1" si="12"/>
        <v>0</v>
      </c>
      <c r="AT70" s="32">
        <f>0</f>
        <v>0</v>
      </c>
      <c r="AU70" s="32">
        <f ca="1">P70-AT70</f>
        <v>0</v>
      </c>
    </row>
    <row r="71" spans="1:47" x14ac:dyDescent="0.2">
      <c r="A71" s="5" t="s">
        <v>314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>
        <f>205</f>
        <v>205</v>
      </c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>
        <f t="shared" si="13"/>
        <v>205</v>
      </c>
    </row>
    <row r="72" spans="1:47" x14ac:dyDescent="0.2">
      <c r="A72" s="5" t="s">
        <v>315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>
        <f>2000</f>
        <v>2000</v>
      </c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>
        <f t="shared" ref="AU72:AU78" si="54">P72-AT72</f>
        <v>2000</v>
      </c>
    </row>
    <row r="73" spans="1:47" x14ac:dyDescent="0.2">
      <c r="A73" s="48" t="s">
        <v>272</v>
      </c>
      <c r="B73" s="76">
        <f t="shared" ref="B73:O73" si="55">SUM(B62:B72)</f>
        <v>14581</v>
      </c>
      <c r="C73" s="76">
        <f t="shared" si="55"/>
        <v>6572</v>
      </c>
      <c r="D73" s="76">
        <f t="shared" si="55"/>
        <v>-3741</v>
      </c>
      <c r="E73" s="76">
        <f t="shared" si="55"/>
        <v>1074</v>
      </c>
      <c r="F73" s="76">
        <f t="shared" si="55"/>
        <v>743</v>
      </c>
      <c r="G73" s="76">
        <f t="shared" si="55"/>
        <v>-2986</v>
      </c>
      <c r="H73" s="76">
        <f t="shared" si="55"/>
        <v>2681</v>
      </c>
      <c r="I73" s="76">
        <f t="shared" si="55"/>
        <v>-7230</v>
      </c>
      <c r="J73" s="76">
        <f t="shared" si="55"/>
        <v>6762</v>
      </c>
      <c r="K73" s="76">
        <f t="shared" si="55"/>
        <v>-5589</v>
      </c>
      <c r="L73" s="76">
        <f t="shared" si="55"/>
        <v>39929</v>
      </c>
      <c r="M73" s="76">
        <f t="shared" si="55"/>
        <v>29698</v>
      </c>
      <c r="N73" s="76">
        <f t="shared" ca="1" si="55"/>
        <v>41176</v>
      </c>
      <c r="O73" s="76">
        <f t="shared" ca="1" si="55"/>
        <v>88769</v>
      </c>
      <c r="P73" s="76">
        <f ca="1">SUM(P62:P72)</f>
        <v>82666</v>
      </c>
      <c r="Q73" s="30"/>
      <c r="R73" s="76">
        <v>15014</v>
      </c>
      <c r="S73" s="76">
        <v>-433</v>
      </c>
      <c r="T73" s="76">
        <v>306</v>
      </c>
      <c r="U73" s="76">
        <v>6266</v>
      </c>
      <c r="V73" s="76">
        <v>-3839</v>
      </c>
      <c r="W73" s="76">
        <v>98</v>
      </c>
      <c r="X73" s="76">
        <v>1365</v>
      </c>
      <c r="Y73" s="76">
        <v>-291</v>
      </c>
      <c r="Z73" s="76">
        <v>484</v>
      </c>
      <c r="AA73" s="76">
        <v>259</v>
      </c>
      <c r="AB73" s="76">
        <v>1248</v>
      </c>
      <c r="AC73" s="76">
        <v>-4234</v>
      </c>
      <c r="AD73" s="76">
        <v>963</v>
      </c>
      <c r="AE73" s="76">
        <v>1718</v>
      </c>
      <c r="AF73" s="76">
        <v>-1758</v>
      </c>
      <c r="AG73" s="76">
        <v>-5472</v>
      </c>
      <c r="AH73" s="76">
        <v>13217</v>
      </c>
      <c r="AI73" s="76">
        <v>-6455</v>
      </c>
      <c r="AJ73" s="76">
        <v>-3643</v>
      </c>
      <c r="AK73" s="76">
        <v>-1946</v>
      </c>
      <c r="AL73" s="77">
        <v>20790</v>
      </c>
      <c r="AM73" s="77">
        <v>19139</v>
      </c>
      <c r="AN73" s="77">
        <f>SUM(AN62:AN70)</f>
        <v>15656</v>
      </c>
      <c r="AO73" s="77">
        <f>SUM(AO62:AO70)</f>
        <v>14042</v>
      </c>
      <c r="AP73" s="77">
        <f>SUM(AP62:AP70)</f>
        <v>20801</v>
      </c>
      <c r="AQ73" s="77">
        <f t="shared" ca="1" si="11"/>
        <v>20375</v>
      </c>
      <c r="AR73" s="77">
        <f>SUM(AR62:AR70)</f>
        <v>39631</v>
      </c>
      <c r="AS73" s="77">
        <f t="shared" ref="AS73" ca="1" si="56">SUM(AS62:AS70)</f>
        <v>49138</v>
      </c>
      <c r="AT73" s="77">
        <f>SUM(AT62:AT70)</f>
        <v>36856</v>
      </c>
      <c r="AU73" s="77">
        <f t="shared" ca="1" si="54"/>
        <v>45810</v>
      </c>
    </row>
    <row r="74" spans="1:47" x14ac:dyDescent="0.2">
      <c r="B74" s="32"/>
      <c r="C74" s="32"/>
      <c r="D74" s="32"/>
      <c r="E74" s="32"/>
      <c r="F74" s="32"/>
      <c r="G74" s="32"/>
      <c r="H74" s="32"/>
      <c r="I74" s="32"/>
      <c r="J74" s="32"/>
      <c r="K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R74" s="5"/>
      <c r="AS74" s="5"/>
      <c r="AT74" s="5"/>
      <c r="AU74" s="5"/>
    </row>
    <row r="75" spans="1:47" x14ac:dyDescent="0.2">
      <c r="A75" s="50" t="s">
        <v>273</v>
      </c>
      <c r="B75" s="75">
        <f t="shared" ref="B75:M75" si="57">B73+B59+B44</f>
        <v>9176</v>
      </c>
      <c r="C75" s="75">
        <f t="shared" si="57"/>
        <v>-3295</v>
      </c>
      <c r="D75" s="75">
        <f t="shared" si="57"/>
        <v>-2966</v>
      </c>
      <c r="E75" s="75">
        <f t="shared" si="57"/>
        <v>4862</v>
      </c>
      <c r="F75" s="75">
        <f t="shared" si="57"/>
        <v>-2842</v>
      </c>
      <c r="G75" s="75">
        <f t="shared" si="57"/>
        <v>-1182</v>
      </c>
      <c r="H75" s="75">
        <f t="shared" si="57"/>
        <v>3997</v>
      </c>
      <c r="I75" s="75">
        <f t="shared" si="57"/>
        <v>8523</v>
      </c>
      <c r="J75" s="75">
        <f t="shared" si="57"/>
        <v>8237</v>
      </c>
      <c r="K75" s="75">
        <f t="shared" si="57"/>
        <v>-5322</v>
      </c>
      <c r="L75" s="75">
        <f t="shared" si="57"/>
        <v>19041</v>
      </c>
      <c r="M75" s="75">
        <f t="shared" si="57"/>
        <v>-20701</v>
      </c>
      <c r="N75" s="75">
        <f ca="1">N73+N59+N44</f>
        <v>-14133</v>
      </c>
      <c r="O75" s="75">
        <f ca="1">O73+O59+O44</f>
        <v>-5408</v>
      </c>
      <c r="P75" s="75">
        <f ca="1">P73+P59+P44</f>
        <v>576</v>
      </c>
      <c r="Q75" s="37"/>
      <c r="R75" s="75">
        <v>12714</v>
      </c>
      <c r="S75" s="75">
        <v>-3538</v>
      </c>
      <c r="T75" s="75">
        <v>-1249</v>
      </c>
      <c r="U75" s="75">
        <v>-2046</v>
      </c>
      <c r="V75" s="75">
        <v>-2556</v>
      </c>
      <c r="W75" s="75">
        <v>-410</v>
      </c>
      <c r="X75" s="75">
        <v>1396</v>
      </c>
      <c r="Y75" s="75">
        <v>3466</v>
      </c>
      <c r="Z75" s="75">
        <v>-3982</v>
      </c>
      <c r="AA75" s="75">
        <v>1140</v>
      </c>
      <c r="AB75" s="75">
        <v>4348</v>
      </c>
      <c r="AC75" s="75">
        <v>-5530</v>
      </c>
      <c r="AD75" s="75">
        <v>-796</v>
      </c>
      <c r="AE75" s="75">
        <v>4793</v>
      </c>
      <c r="AF75" s="75">
        <v>4500</v>
      </c>
      <c r="AG75" s="75">
        <v>4023</v>
      </c>
      <c r="AH75" s="75">
        <v>12797</v>
      </c>
      <c r="AI75" s="75">
        <v>-4560</v>
      </c>
      <c r="AJ75" s="75">
        <v>-6478</v>
      </c>
      <c r="AK75" s="75">
        <v>1156</v>
      </c>
      <c r="AL75" s="32">
        <v>14450</v>
      </c>
      <c r="AM75" s="32">
        <v>4591</v>
      </c>
      <c r="AN75" s="32">
        <f>AN73+AN59+AN44</f>
        <v>-5221</v>
      </c>
      <c r="AO75" s="32">
        <v>-15480</v>
      </c>
      <c r="AP75" s="32">
        <f>AP73+AP59+AP44</f>
        <v>1548</v>
      </c>
      <c r="AQ75" s="32">
        <f ca="1">AQ73+AQ59+AQ44</f>
        <v>-15681</v>
      </c>
      <c r="AR75" s="32">
        <f>AR73+AR59+AR44</f>
        <v>-2721</v>
      </c>
      <c r="AS75" s="32">
        <f t="shared" ref="AS75:AT75" ca="1" si="58">AS73+AS59+AS44</f>
        <v>-2687</v>
      </c>
      <c r="AT75" s="32">
        <f t="shared" si="58"/>
        <v>1331</v>
      </c>
      <c r="AU75" s="32">
        <f t="shared" ca="1" si="54"/>
        <v>-755</v>
      </c>
    </row>
    <row r="76" spans="1:47" x14ac:dyDescent="0.2">
      <c r="A76" s="5" t="s">
        <v>274</v>
      </c>
      <c r="B76" s="32">
        <v>3636</v>
      </c>
      <c r="C76" s="32">
        <f t="shared" ref="C76:M76" si="59">B78</f>
        <v>14484</v>
      </c>
      <c r="D76" s="32">
        <f t="shared" si="59"/>
        <v>10716</v>
      </c>
      <c r="E76" s="32">
        <f t="shared" si="59"/>
        <v>8139</v>
      </c>
      <c r="F76" s="32">
        <f t="shared" si="59"/>
        <v>14631</v>
      </c>
      <c r="G76" s="32">
        <f t="shared" si="59"/>
        <v>11532</v>
      </c>
      <c r="H76" s="32">
        <f t="shared" si="59"/>
        <v>10206</v>
      </c>
      <c r="I76" s="32">
        <f t="shared" si="59"/>
        <v>14125</v>
      </c>
      <c r="J76" s="32">
        <f t="shared" si="59"/>
        <v>23066</v>
      </c>
      <c r="K76" s="32">
        <f t="shared" si="59"/>
        <v>31128</v>
      </c>
      <c r="L76" s="32">
        <f t="shared" si="59"/>
        <v>25830</v>
      </c>
      <c r="M76" s="32">
        <f t="shared" si="59"/>
        <v>44587</v>
      </c>
      <c r="N76" s="32">
        <f>M78</f>
        <v>23811</v>
      </c>
      <c r="O76" s="32">
        <f>N78</f>
        <v>9724</v>
      </c>
      <c r="P76" s="32">
        <f>O78</f>
        <v>4320</v>
      </c>
      <c r="R76" s="32">
        <v>3636</v>
      </c>
      <c r="S76" s="32">
        <f>R78</f>
        <v>16146</v>
      </c>
      <c r="T76" s="32">
        <v>14484</v>
      </c>
      <c r="U76" s="32">
        <f>T78</f>
        <v>13276</v>
      </c>
      <c r="V76" s="32">
        <v>10716</v>
      </c>
      <c r="W76" s="32">
        <f>V78</f>
        <v>8559</v>
      </c>
      <c r="X76" s="32">
        <v>8139</v>
      </c>
      <c r="Y76" s="32">
        <f>X78</f>
        <v>9635</v>
      </c>
      <c r="Z76" s="32">
        <v>14631</v>
      </c>
      <c r="AA76" s="32">
        <f>Z78</f>
        <v>10042</v>
      </c>
      <c r="AB76" s="32">
        <v>11532</v>
      </c>
      <c r="AC76" s="32">
        <f>AB78</f>
        <v>15770</v>
      </c>
      <c r="AD76" s="32">
        <v>10206</v>
      </c>
      <c r="AE76" s="32">
        <f>AD78</f>
        <v>9392</v>
      </c>
      <c r="AF76" s="32">
        <v>14125</v>
      </c>
      <c r="AG76" s="32">
        <f>AF78</f>
        <v>18865</v>
      </c>
      <c r="AH76" s="32">
        <v>23066</v>
      </c>
      <c r="AI76" s="32">
        <f>AH78</f>
        <v>35797</v>
      </c>
      <c r="AJ76" s="32">
        <v>31128</v>
      </c>
      <c r="AK76" s="32">
        <f>AJ78</f>
        <v>24678</v>
      </c>
      <c r="AL76" s="32">
        <v>25830</v>
      </c>
      <c r="AM76" s="32">
        <f>AL78</f>
        <v>39980</v>
      </c>
      <c r="AN76" s="32">
        <v>44587</v>
      </c>
      <c r="AO76" s="32">
        <f>AN78</f>
        <v>39194</v>
      </c>
      <c r="AP76" s="32">
        <v>23811</v>
      </c>
      <c r="AQ76" s="32">
        <f>AP78</f>
        <v>25687</v>
      </c>
      <c r="AR76" s="32">
        <f>9724</f>
        <v>9724</v>
      </c>
      <c r="AS76" s="32">
        <f t="shared" ref="AS76:AS78" si="60">O76-AR76</f>
        <v>0</v>
      </c>
      <c r="AT76" s="32">
        <f>4320</f>
        <v>4320</v>
      </c>
      <c r="AU76" s="32">
        <f t="shared" si="54"/>
        <v>0</v>
      </c>
    </row>
    <row r="77" spans="1:47" x14ac:dyDescent="0.2">
      <c r="A77" s="5" t="s">
        <v>275</v>
      </c>
      <c r="B77" s="32">
        <f t="shared" si="43"/>
        <v>1672</v>
      </c>
      <c r="C77" s="32">
        <f t="shared" si="44"/>
        <v>-473</v>
      </c>
      <c r="D77" s="32">
        <f t="shared" si="45"/>
        <v>389</v>
      </c>
      <c r="E77" s="32">
        <f t="shared" si="46"/>
        <v>1630</v>
      </c>
      <c r="F77" s="32">
        <f t="shared" si="47"/>
        <v>-257</v>
      </c>
      <c r="G77" s="32">
        <f t="shared" si="48"/>
        <v>-144</v>
      </c>
      <c r="H77" s="32">
        <f t="shared" si="49"/>
        <v>-78</v>
      </c>
      <c r="I77" s="32">
        <f t="shared" si="50"/>
        <v>418</v>
      </c>
      <c r="J77" s="32">
        <f t="shared" si="51"/>
        <v>-175</v>
      </c>
      <c r="K77" s="32">
        <f t="shared" si="52"/>
        <v>24</v>
      </c>
      <c r="L77" s="32">
        <f t="shared" ref="L77" si="61">SUM(AL77:AM77)</f>
        <v>-284</v>
      </c>
      <c r="M77" s="32">
        <f t="shared" si="10"/>
        <v>-75</v>
      </c>
      <c r="N77" s="32">
        <v>46</v>
      </c>
      <c r="O77" s="32">
        <f>4</f>
        <v>4</v>
      </c>
      <c r="P77" s="32">
        <f>-7</f>
        <v>-7</v>
      </c>
      <c r="R77" s="32">
        <v>-204</v>
      </c>
      <c r="S77" s="32">
        <v>1876</v>
      </c>
      <c r="T77" s="32">
        <v>41</v>
      </c>
      <c r="U77" s="32">
        <v>-514</v>
      </c>
      <c r="V77" s="32">
        <v>399</v>
      </c>
      <c r="W77" s="32">
        <v>-10</v>
      </c>
      <c r="X77" s="32">
        <v>100</v>
      </c>
      <c r="Y77" s="32">
        <v>1530</v>
      </c>
      <c r="Z77" s="32">
        <v>-607</v>
      </c>
      <c r="AA77" s="32">
        <v>350</v>
      </c>
      <c r="AB77" s="32">
        <v>-110</v>
      </c>
      <c r="AC77" s="32">
        <v>-34</v>
      </c>
      <c r="AD77" s="32">
        <v>-18</v>
      </c>
      <c r="AE77" s="32">
        <v>-60</v>
      </c>
      <c r="AF77" s="32">
        <v>240</v>
      </c>
      <c r="AG77" s="32">
        <v>178</v>
      </c>
      <c r="AH77" s="32">
        <v>-66</v>
      </c>
      <c r="AI77" s="32">
        <v>-109</v>
      </c>
      <c r="AJ77" s="32">
        <v>28</v>
      </c>
      <c r="AK77" s="32">
        <v>-4</v>
      </c>
      <c r="AL77" s="32">
        <v>-300</v>
      </c>
      <c r="AM77" s="32">
        <v>16</v>
      </c>
      <c r="AN77" s="32">
        <v>-172</v>
      </c>
      <c r="AO77" s="32">
        <v>97</v>
      </c>
      <c r="AP77" s="32">
        <v>328</v>
      </c>
      <c r="AQ77" s="32">
        <f>N77-AP77</f>
        <v>-282</v>
      </c>
      <c r="AR77" s="32">
        <f>-4</f>
        <v>-4</v>
      </c>
      <c r="AS77" s="32">
        <f t="shared" si="60"/>
        <v>8</v>
      </c>
      <c r="AT77" s="32">
        <f>-7</f>
        <v>-7</v>
      </c>
      <c r="AU77" s="32">
        <f t="shared" si="54"/>
        <v>0</v>
      </c>
    </row>
    <row r="78" spans="1:47" x14ac:dyDescent="0.2">
      <c r="A78" s="48" t="s">
        <v>276</v>
      </c>
      <c r="B78" s="76">
        <v>14484</v>
      </c>
      <c r="C78" s="76">
        <v>10716</v>
      </c>
      <c r="D78" s="76">
        <v>8139</v>
      </c>
      <c r="E78" s="76">
        <v>14631</v>
      </c>
      <c r="F78" s="76">
        <v>11532</v>
      </c>
      <c r="G78" s="76">
        <v>10206</v>
      </c>
      <c r="H78" s="76">
        <v>14125</v>
      </c>
      <c r="I78" s="76">
        <v>23066</v>
      </c>
      <c r="J78" s="76">
        <v>31128</v>
      </c>
      <c r="K78" s="76">
        <v>25830</v>
      </c>
      <c r="L78" s="76">
        <v>44587</v>
      </c>
      <c r="M78" s="76">
        <v>23811</v>
      </c>
      <c r="N78" s="76">
        <v>9724</v>
      </c>
      <c r="O78" s="76">
        <f>4320</f>
        <v>4320</v>
      </c>
      <c r="P78" s="76">
        <f>4889</f>
        <v>4889</v>
      </c>
      <c r="Q78" s="30"/>
      <c r="R78" s="76">
        <v>16146</v>
      </c>
      <c r="S78" s="76">
        <f>T76</f>
        <v>14484</v>
      </c>
      <c r="T78" s="76">
        <v>13276</v>
      </c>
      <c r="U78" s="76">
        <f>V76</f>
        <v>10716</v>
      </c>
      <c r="V78" s="76">
        <v>8559</v>
      </c>
      <c r="W78" s="76">
        <f>X76</f>
        <v>8139</v>
      </c>
      <c r="X78" s="76">
        <v>9635</v>
      </c>
      <c r="Y78" s="76">
        <f>Z76</f>
        <v>14631</v>
      </c>
      <c r="Z78" s="76">
        <v>10042</v>
      </c>
      <c r="AA78" s="76">
        <f>AB76</f>
        <v>11532</v>
      </c>
      <c r="AB78" s="76">
        <v>15770</v>
      </c>
      <c r="AC78" s="76">
        <f>AD76</f>
        <v>10206</v>
      </c>
      <c r="AD78" s="76">
        <v>9392</v>
      </c>
      <c r="AE78" s="76">
        <f>AF76</f>
        <v>14125</v>
      </c>
      <c r="AF78" s="76">
        <v>18865</v>
      </c>
      <c r="AG78" s="76">
        <f>AH76</f>
        <v>23066</v>
      </c>
      <c r="AH78" s="76">
        <v>35797</v>
      </c>
      <c r="AI78" s="76">
        <f>AJ76</f>
        <v>31128</v>
      </c>
      <c r="AJ78" s="76">
        <v>24678</v>
      </c>
      <c r="AK78" s="76">
        <f>AL76</f>
        <v>25830</v>
      </c>
      <c r="AL78" s="77">
        <v>39980</v>
      </c>
      <c r="AM78" s="77">
        <f>AN76</f>
        <v>44587</v>
      </c>
      <c r="AN78" s="77">
        <v>39194</v>
      </c>
      <c r="AO78" s="77">
        <f>M78</f>
        <v>23811</v>
      </c>
      <c r="AP78" s="77">
        <v>25687</v>
      </c>
      <c r="AQ78" s="77">
        <f>N78</f>
        <v>9724</v>
      </c>
      <c r="AR78" s="77">
        <f>SUM(AR75:AR77)</f>
        <v>6999</v>
      </c>
      <c r="AS78" s="77">
        <f t="shared" si="60"/>
        <v>-2679</v>
      </c>
      <c r="AT78" s="77">
        <f>SUM(AT75:AT77)</f>
        <v>5644</v>
      </c>
      <c r="AU78" s="77">
        <f t="shared" si="54"/>
        <v>-755</v>
      </c>
    </row>
  </sheetData>
  <phoneticPr fontId="32" type="noConversion"/>
  <hyperlinks>
    <hyperlink ref="A3" location="Содержание!A1" display="К содержанию" xr:uid="{A942458B-793B-4C45-9BA9-CF293C7257FD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</vt:lpstr>
      <vt:lpstr>Обзор</vt:lpstr>
      <vt:lpstr>Операционные результаты</vt:lpstr>
      <vt:lpstr>ОФР</vt:lpstr>
      <vt:lpstr>Бухгалтерский баланс</vt:lpstr>
      <vt:lpstr>ОДДС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Фроленко Елизавета Андреевна</cp:lastModifiedBy>
  <dcterms:created xsi:type="dcterms:W3CDTF">2021-08-12T14:59:22Z</dcterms:created>
  <dcterms:modified xsi:type="dcterms:W3CDTF">2026-05-08T07:19:42Z</dcterms:modified>
</cp:coreProperties>
</file>