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6\2026-04-ХХ 1Q26 Operating Results\Datapack\"/>
    </mc:Choice>
  </mc:AlternateContent>
  <xr:revisionPtr revIDLastSave="0" documentId="8_{8200CE2F-5857-4B2C-8765-0CA26DB4170F}" xr6:coauthVersionLast="36" xr6:coauthVersionMax="36" xr10:uidLastSave="{00000000-0000-0000-0000-000000000000}"/>
  <bookViews>
    <workbookView xWindow="0" yWindow="465" windowWidth="23040" windowHeight="14895" activeTab="1" xr2:uid="{8BED7D6A-33C6-46EF-A708-EB7D78F6E46A}"/>
  </bookViews>
  <sheets>
    <sheet name="Contents" sheetId="8" r:id="rId1"/>
    <sheet name="Overview" sheetId="1" r:id="rId2"/>
    <sheet name="Operating Results" sheetId="2" r:id="rId3"/>
    <sheet name="PL" sheetId="5" r:id="rId4"/>
    <sheet name="BS" sheetId="6" r:id="rId5"/>
    <sheet name="CF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hidden="1">{"Output%",#N/A,FALSE,"Output"}</definedName>
    <definedName name="_____________________________RAC1" hidden="1">#REF!</definedName>
    <definedName name="_____________________________wrn1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hidden="1">{"Output%",#N/A,FALSE,"Output"}</definedName>
    <definedName name="____________________________RAC1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hidden="1">{"Output%",#N/A,FALSE,"Output"}</definedName>
    <definedName name="__________________________RAC1" hidden="1">#REF!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hidden="1">{"Output%",#N/A,FALSE,"Output"}</definedName>
    <definedName name="________________________RAC1" hidden="1">#REF!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hidden="1">{"Output%",#N/A,FALSE,"Output"}</definedName>
    <definedName name="_______________________RAC1" hidden="1">#REF!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hidden="1">{"Output%",#N/A,FALSE,"Output"}</definedName>
    <definedName name="______________________RAC1" hidden="1">#REF!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hidden="1">{"ÜBERSICHT",#N/A,FALSE,"ABW KUM";"Kostenzoom",#N/A,FALSE,"ABW KUM";"ÜBERSICHT",#N/A,FALSE,"ABW HORE";"Kostenzoom",#N/A,FALSE,"ABW HORE"}</definedName>
    <definedName name="_____________________CF2" hidden="1">{"Output%",#N/A,FALSE,"Output"}</definedName>
    <definedName name="_____________________RAC1" hidden="1">#REF!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hidden="1">{"ÜBERSICHT",#N/A,FALSE,"ABW KUM";"Kostenzoom",#N/A,FALSE,"ABW KUM";"ÜBERSICHT",#N/A,FALSE,"ABW HORE";"Kostenzoom",#N/A,FALSE,"ABW HORE"}</definedName>
    <definedName name="____________________CF2" hidden="1">{"Output%",#N/A,FALSE,"Output"}</definedName>
    <definedName name="____________________RAC1" hidden="1">#REF!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hidden="1">{"ÜBERSICHT",#N/A,FALSE,"ABW KUM";"Kostenzoom",#N/A,FALSE,"ABW KUM";"ÜBERSICHT",#N/A,FALSE,"ABW HORE";"Kostenzoom",#N/A,FALSE,"ABW HORE"}</definedName>
    <definedName name="___________________CF2" hidden="1">{"Output%",#N/A,FALSE,"Output"}</definedName>
    <definedName name="___________________RAC1" hidden="1">#REF!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hidden="1">{"ÜBERSICHT",#N/A,FALSE,"ABW KUM";"Kostenzoom",#N/A,FALSE,"ABW KUM";"ÜBERSICHT",#N/A,FALSE,"ABW HORE";"Kostenzoom",#N/A,FALSE,"ABW HORE"}</definedName>
    <definedName name="__________________CF2" hidden="1">{"Output%",#N/A,FALSE,"Output"}</definedName>
    <definedName name="__________________RAC1" hidden="1">#REF!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hidden="1">{"ÜBERSICHT",#N/A,FALSE,"ABW KUM";"Kostenzoom",#N/A,FALSE,"ABW KUM";"ÜBERSICHT",#N/A,FALSE,"ABW HORE";"Kostenzoom",#N/A,FALSE,"ABW HORE"}</definedName>
    <definedName name="_________________CF2" hidden="1">{"Output%",#N/A,FALSE,"Output"}</definedName>
    <definedName name="_________________RAC1" hidden="1">#REF!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hidden="1">{"ÜBERSICHT",#N/A,FALSE,"ABW KUM";"Kostenzoom",#N/A,FALSE,"ABW KUM";"ÜBERSICHT",#N/A,FALSE,"ABW HORE";"Kostenzoom",#N/A,FALSE,"ABW HORE"}</definedName>
    <definedName name="________________CF2" hidden="1">{"Output%",#N/A,FALSE,"Output"}</definedName>
    <definedName name="________________RAC1" hidden="1">#REF!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hidden="1">{"ÜBERSICHT",#N/A,FALSE,"ABW KUM";"Kostenzoom",#N/A,FALSE,"ABW KUM";"ÜBERSICHT",#N/A,FALSE,"ABW HORE";"Kostenzoom",#N/A,FALSE,"ABW HORE"}</definedName>
    <definedName name="_______________CF2" hidden="1">{"Output%",#N/A,FALSE,"Output"}</definedName>
    <definedName name="_______________RAC1" hidden="1">#REF!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hidden="1">{"ÜBERSICHT",#N/A,FALSE,"ABW KUM";"Kostenzoom",#N/A,FALSE,"ABW KUM";"ÜBERSICHT",#N/A,FALSE,"ABW HORE";"Kostenzoom",#N/A,FALSE,"ABW HORE"}</definedName>
    <definedName name="______________CF2" hidden="1">{"Output%",#N/A,FALSE,"Output"}</definedName>
    <definedName name="______________RAC1" hidden="1">#REF!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hidden="1">{"ÜBERSICHT",#N/A,FALSE,"ABW KUM";"Kostenzoom",#N/A,FALSE,"ABW KUM";"ÜBERSICHT",#N/A,FALSE,"ABW HORE";"Kostenzoom",#N/A,FALSE,"ABW HORE"}</definedName>
    <definedName name="_____________CF2" hidden="1">{"Output%",#N/A,FALSE,"Output"}</definedName>
    <definedName name="_____________RAC1" hidden="1">#REF!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hidden="1">{"ÜBERSICHT",#N/A,FALSE,"ABW KUM";"Kostenzoom",#N/A,FALSE,"ABW KUM";"ÜBERSICHT",#N/A,FALSE,"ABW HORE";"Kostenzoom",#N/A,FALSE,"ABW HORE"}</definedName>
    <definedName name="____________CF2" hidden="1">{"Output%",#N/A,FALSE,"Output"}</definedName>
    <definedName name="____________RAC1" hidden="1">#REF!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SDU99">[1]ЗАО_н.ит!#REF!</definedName>
    <definedName name="____________USD99">[1]ЗАО_н.ит!#REF!</definedName>
    <definedName name="____________wrn1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hidden="1">{"ÜBERSICHT",#N/A,FALSE,"ABW KUM";"Kostenzoom",#N/A,FALSE,"ABW KUM";"ÜBERSICHT",#N/A,FALSE,"ABW HORE";"Kostenzoom",#N/A,FALSE,"ABW HORE"}</definedName>
    <definedName name="___________CF2" hidden="1">{"Output%",#N/A,FALSE,"Output"}</definedName>
    <definedName name="___________RAC1" hidden="1">#REF!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SDU99">[1]ЗАО_н.ит!#REF!</definedName>
    <definedName name="___________USD99">[1]ЗАО_н.ит!#REF!</definedName>
    <definedName name="___________wrn1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hidden="1">{"ÜBERSICHT",#N/A,FALSE,"ABW KUM";"Kostenzoom",#N/A,FALSE,"ABW KUM";"ÜBERSICHT",#N/A,FALSE,"ABW HORE";"Kostenzoom",#N/A,FALSE,"ABW HORE"}</definedName>
    <definedName name="__________CF2" hidden="1">{"Output%",#N/A,FALSE,"Output"}</definedName>
    <definedName name="__________RAC1" hidden="1">#REF!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SDU99">[1]ЗАО_н.ит!#REF!</definedName>
    <definedName name="__________USD99">[1]ЗАО_н.ит!#REF!</definedName>
    <definedName name="__________wrn1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hidden="1">{"ÜBERSICHT",#N/A,FALSE,"ABW KUM";"Kostenzoom",#N/A,FALSE,"ABW KUM";"ÜBERSICHT",#N/A,FALSE,"ABW HORE";"Kostenzoom",#N/A,FALSE,"ABW HORE"}</definedName>
    <definedName name="_________CF2" hidden="1">{"Output%",#N/A,FALSE,"Output"}</definedName>
    <definedName name="_________RAC1" hidden="1">#REF!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SDU99">[1]ЗАО_н.ит!#REF!</definedName>
    <definedName name="_________SQ1">[2]Исход.инф.!$B$7</definedName>
    <definedName name="_________SQ2">[2]Исход.инф.!$B$8</definedName>
    <definedName name="_________SQ3">[2]Исход.инф.!$B$9</definedName>
    <definedName name="_________SQ4">[2]Исход.инф.!$B$10</definedName>
    <definedName name="_________USD99">[1]ЗАО_н.ит!#REF!</definedName>
    <definedName name="_________wrn1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hidden="1">{"ÜBERSICHT",#N/A,FALSE,"ABW KUM";"Kostenzoom",#N/A,FALSE,"ABW KUM";"ÜBERSICHT",#N/A,FALSE,"ABW HORE";"Kostenzoom",#N/A,FALSE,"ABW HORE"}</definedName>
    <definedName name="________CF2" hidden="1">{"Output%",#N/A,FALSE,"Output"}</definedName>
    <definedName name="________hkf8" hidden="1">{"glc1",#N/A,FALSE,"GLC";"glc2",#N/A,FALSE,"GLC";"glc3",#N/A,FALSE,"GLC";"glc4",#N/A,FALSE,"GLC";"glc5",#N/A,FALSE,"GLC"}</definedName>
    <definedName name="________RAC1" hidden="1">#REF!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SDU99">[1]ЗАО_н.ит!#REF!</definedName>
    <definedName name="________SQ1">[2]Исход.инф.!$B$7</definedName>
    <definedName name="________SQ2">[2]Исход.инф.!$B$8</definedName>
    <definedName name="________SQ3">[2]Исход.инф.!$B$9</definedName>
    <definedName name="________SQ4">[2]Исход.инф.!$B$10</definedName>
    <definedName name="________USD99">[1]ЗАО_н.ит!#REF!</definedName>
    <definedName name="________wrn1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c" hidden="1">{"ÜBERSICHT",#N/A,FALSE,"ABW KUM";"Kostenzoom",#N/A,FALSE,"ABW KUM";"ÜBERSICHT",#N/A,FALSE,"ABW HORE";"Kostenzoom",#N/A,FALSE,"ABW HORE"}</definedName>
    <definedName name="_______CF2" hidden="1">{"Output%",#N/A,FALSE,"Output"}</definedName>
    <definedName name="_______hkf8" hidden="1">{"glc1",#N/A,FALSE,"GLC";"glc2",#N/A,FALSE,"GLC";"glc3",#N/A,FALSE,"GLC";"glc4",#N/A,FALSE,"GLC";"glc5",#N/A,FALSE,"GLC"}</definedName>
    <definedName name="_______PR1">#REF!</definedName>
    <definedName name="_______PR2">#REF!</definedName>
    <definedName name="_______PR3">#REF!</definedName>
    <definedName name="_______PR4">#REF!</definedName>
    <definedName name="_______PR5">#REF!</definedName>
    <definedName name="_______RAC1" hidden="1">#REF!</definedName>
    <definedName name="_______RI1">#REF!</definedName>
    <definedName name="_______RR1">#REF!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SDU99">[1]ЗАО_н.ит!#REF!</definedName>
    <definedName name="_______SQ1">[3]Исход.инф.!$B$7</definedName>
    <definedName name="_______SQ2">[3]Исход.инф.!$B$8</definedName>
    <definedName name="_______SQ3">[3]Исход.инф.!$B$9</definedName>
    <definedName name="_______SQ4">[3]Исход.инф.!$B$10</definedName>
    <definedName name="_______USD99">[1]ЗАО_н.ит!#REF!</definedName>
    <definedName name="_______wrn1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c" hidden="1">{"ÜBERSICHT",#N/A,FALSE,"ABW KUM";"Kostenzoom",#N/A,FALSE,"ABW KUM";"ÜBERSICHT",#N/A,FALSE,"ABW HORE";"Kostenzoom",#N/A,FALSE,"ABW HORE"}</definedName>
    <definedName name="______CF2" hidden="1">{"Output%",#N/A,FALSE,"Output"}</definedName>
    <definedName name="______j1">#REF!</definedName>
    <definedName name="______PR1">#REF!</definedName>
    <definedName name="______PR2">#REF!</definedName>
    <definedName name="______PR3">#REF!</definedName>
    <definedName name="______PR4">#REF!</definedName>
    <definedName name="______PR5">#REF!</definedName>
    <definedName name="______RAC1" hidden="1">#REF!</definedName>
    <definedName name="______RI1">#REF!</definedName>
    <definedName name="______RR1">#REF!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SDU99">[1]ЗАО_н.ит!#REF!</definedName>
    <definedName name="______SQ1">[3]Исход.инф.!$B$7</definedName>
    <definedName name="______SQ2">[3]Исход.инф.!$B$8</definedName>
    <definedName name="______SQ3">[3]Исход.инф.!$B$9</definedName>
    <definedName name="______SQ4">[3]Исход.инф.!$B$10</definedName>
    <definedName name="______USD99">[1]ЗАО_н.ит!#REF!</definedName>
    <definedName name="______wrn1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1">#REF!</definedName>
    <definedName name="_____10">#REF!</definedName>
    <definedName name="_____100">#REF!</definedName>
    <definedName name="_____101">#REF!</definedName>
    <definedName name="_____102">#REF!</definedName>
    <definedName name="_____103">#REF!</definedName>
    <definedName name="_____104">#REF!</definedName>
    <definedName name="_____105">#REF!</definedName>
    <definedName name="_____106">#REF!</definedName>
    <definedName name="_____107">#REF!</definedName>
    <definedName name="_____108">#REF!</definedName>
    <definedName name="_____109">#REF!</definedName>
    <definedName name="_____11">#REF!</definedName>
    <definedName name="_____110">#REF!</definedName>
    <definedName name="_____111">#REF!</definedName>
    <definedName name="_____112">#REF!</definedName>
    <definedName name="_____113">#REF!</definedName>
    <definedName name="_____114">#REF!</definedName>
    <definedName name="_____115">#REF!</definedName>
    <definedName name="_____116">#REF!</definedName>
    <definedName name="_____117">#REF!</definedName>
    <definedName name="_____118">#REF!</definedName>
    <definedName name="_____119">#REF!</definedName>
    <definedName name="_____12">#REF!</definedName>
    <definedName name="_____120">#REF!</definedName>
    <definedName name="_____121">#REF!</definedName>
    <definedName name="_____122">#REF!</definedName>
    <definedName name="_____123">#REF!</definedName>
    <definedName name="_____124">#REF!</definedName>
    <definedName name="_____125">#REF!</definedName>
    <definedName name="_____126">#REF!</definedName>
    <definedName name="_____127">[4]Лист1!#REF!</definedName>
    <definedName name="_____128">#REF!</definedName>
    <definedName name="_____129">#REF!</definedName>
    <definedName name="_____13">#REF!</definedName>
    <definedName name="_____130">#REF!</definedName>
    <definedName name="_____131">[4]Лист1!#REF!</definedName>
    <definedName name="_____132">#REF!</definedName>
    <definedName name="_____133">#REF!</definedName>
    <definedName name="_____134">#REF!</definedName>
    <definedName name="_____135">#REF!</definedName>
    <definedName name="_____136">#REF!</definedName>
    <definedName name="_____137">#REF!</definedName>
    <definedName name="_____138">#REF!</definedName>
    <definedName name="_____139">#REF!</definedName>
    <definedName name="_____14">#REF!</definedName>
    <definedName name="_____140">#REF!</definedName>
    <definedName name="_____141">#REF!</definedName>
    <definedName name="_____142">#REF!</definedName>
    <definedName name="_____143">#REF!</definedName>
    <definedName name="_____144">#REF!</definedName>
    <definedName name="_____145">#REF!</definedName>
    <definedName name="_____146">#REF!</definedName>
    <definedName name="_____147">#REF!</definedName>
    <definedName name="_____148">#REF!</definedName>
    <definedName name="_____149">#REF!</definedName>
    <definedName name="_____15">[4]Лист1!#REF!</definedName>
    <definedName name="_____150">#REF!</definedName>
    <definedName name="_____151">#REF!</definedName>
    <definedName name="_____152">#REF!</definedName>
    <definedName name="_____153">[4]Лист1!#REF!</definedName>
    <definedName name="_____154">#REF!</definedName>
    <definedName name="_____155">#REF!</definedName>
    <definedName name="_____156">#REF!</definedName>
    <definedName name="_____157">#REF!</definedName>
    <definedName name="_____158">#REF!</definedName>
    <definedName name="_____159">#REF!</definedName>
    <definedName name="_____16">#REF!</definedName>
    <definedName name="_____160">[4]Лист1!#REF!</definedName>
    <definedName name="_____161">#REF!</definedName>
    <definedName name="_____162">#REF!</definedName>
    <definedName name="_____163">#REF!</definedName>
    <definedName name="_____164">#REF!</definedName>
    <definedName name="_____165">[4]Лист1!#REF!</definedName>
    <definedName name="_____166">#REF!</definedName>
    <definedName name="_____167">#REF!</definedName>
    <definedName name="_____168">#REF!</definedName>
    <definedName name="_____169">#REF!</definedName>
    <definedName name="_____17">#REF!</definedName>
    <definedName name="_____170">#REF!</definedName>
    <definedName name="_____171">#REF!</definedName>
    <definedName name="_____172">#REF!</definedName>
    <definedName name="_____173">#REF!</definedName>
    <definedName name="_____174">#REF!</definedName>
    <definedName name="_____175">#REF!</definedName>
    <definedName name="_____176">#REF!</definedName>
    <definedName name="_____177">#REF!</definedName>
    <definedName name="_____178">#REF!</definedName>
    <definedName name="_____179">#REF!</definedName>
    <definedName name="_____18">#REF!</definedName>
    <definedName name="_____180">#REF!</definedName>
    <definedName name="_____181">#REF!</definedName>
    <definedName name="_____182">#REF!</definedName>
    <definedName name="_____183">#REF!</definedName>
    <definedName name="_____184">#REF!</definedName>
    <definedName name="_____185">#REF!</definedName>
    <definedName name="_____186">#REF!</definedName>
    <definedName name="_____187">#REF!</definedName>
    <definedName name="_____188">#REF!</definedName>
    <definedName name="_____189">#REF!</definedName>
    <definedName name="_____19">#REF!</definedName>
    <definedName name="_____190">#REF!</definedName>
    <definedName name="_____191">#REF!</definedName>
    <definedName name="_____192">#REF!</definedName>
    <definedName name="_____193">#REF!</definedName>
    <definedName name="_____194">#REF!</definedName>
    <definedName name="_____195">#REF!</definedName>
    <definedName name="_____196">#REF!</definedName>
    <definedName name="_____197">#REF!</definedName>
    <definedName name="_____198">#REF!</definedName>
    <definedName name="_____199">#REF!</definedName>
    <definedName name="_____2">#REF!</definedName>
    <definedName name="_____20">#REF!</definedName>
    <definedName name="_____200">#REF!</definedName>
    <definedName name="_____201">#REF!</definedName>
    <definedName name="_____202">#REF!</definedName>
    <definedName name="_____203">#REF!</definedName>
    <definedName name="_____204">#REF!</definedName>
    <definedName name="_____205">#REF!</definedName>
    <definedName name="_____206">#REF!</definedName>
    <definedName name="_____207">#REF!</definedName>
    <definedName name="_____208">#REF!</definedName>
    <definedName name="_____209">#REF!</definedName>
    <definedName name="_____21">#REF!</definedName>
    <definedName name="_____210">#REF!</definedName>
    <definedName name="_____211">#REF!</definedName>
    <definedName name="_____212">#REF!</definedName>
    <definedName name="_____213">#REF!</definedName>
    <definedName name="_____214">#REF!</definedName>
    <definedName name="_____215">#REF!</definedName>
    <definedName name="_____216">#REF!</definedName>
    <definedName name="_____217">#REF!</definedName>
    <definedName name="_____218">#REF!</definedName>
    <definedName name="_____219">#REF!</definedName>
    <definedName name="_____22">#REF!</definedName>
    <definedName name="_____220">#REF!</definedName>
    <definedName name="_____221">#REF!</definedName>
    <definedName name="_____222">#REF!</definedName>
    <definedName name="_____223">#REF!</definedName>
    <definedName name="_____224">#REF!</definedName>
    <definedName name="_____225">#REF!</definedName>
    <definedName name="_____226">#REF!</definedName>
    <definedName name="_____227">#REF!</definedName>
    <definedName name="_____228">#REF!</definedName>
    <definedName name="_____229">#REF!</definedName>
    <definedName name="_____23">#REF!</definedName>
    <definedName name="_____230">#REF!</definedName>
    <definedName name="_____231">#REF!</definedName>
    <definedName name="_____232">#REF!</definedName>
    <definedName name="_____233">#REF!</definedName>
    <definedName name="_____234">#REF!</definedName>
    <definedName name="_____235">#REF!</definedName>
    <definedName name="_____236">#REF!</definedName>
    <definedName name="_____237">#REF!</definedName>
    <definedName name="_____238">#REF!</definedName>
    <definedName name="_____239">#REF!</definedName>
    <definedName name="_____24">#REF!</definedName>
    <definedName name="_____240">#REF!</definedName>
    <definedName name="_____241">#REF!</definedName>
    <definedName name="_____242">[4]Лист1!#REF!</definedName>
    <definedName name="_____243">[4]Лист1!#REF!</definedName>
    <definedName name="_____244">#REF!</definedName>
    <definedName name="_____245">#REF!</definedName>
    <definedName name="_____246">#REF!</definedName>
    <definedName name="_____247">#REF!</definedName>
    <definedName name="_____248">#REF!</definedName>
    <definedName name="_____249">[4]Лист1!#REF!</definedName>
    <definedName name="_____25">#REF!</definedName>
    <definedName name="_____250">#REF!</definedName>
    <definedName name="_____251">#REF!</definedName>
    <definedName name="_____252">#REF!</definedName>
    <definedName name="_____253">#REF!</definedName>
    <definedName name="_____254">#REF!</definedName>
    <definedName name="_____255">[4]Лист1!#REF!</definedName>
    <definedName name="_____256">#REF!</definedName>
    <definedName name="_____26">#REF!</definedName>
    <definedName name="_____27">#REF!</definedName>
    <definedName name="_____28">#REF!</definedName>
    <definedName name="_____29">#REF!</definedName>
    <definedName name="_____3">#REF!</definedName>
    <definedName name="_____30">#REF!</definedName>
    <definedName name="_____31">#REF!</definedName>
    <definedName name="_____32">#REF!</definedName>
    <definedName name="_____33">#REF!</definedName>
    <definedName name="_____34">#REF!</definedName>
    <definedName name="_____35">#REF!</definedName>
    <definedName name="_____36">#REF!</definedName>
    <definedName name="_____37">#REF!</definedName>
    <definedName name="_____38">#REF!</definedName>
    <definedName name="_____39">#REF!</definedName>
    <definedName name="_____4">#REF!</definedName>
    <definedName name="_____40">#REF!</definedName>
    <definedName name="_____41">#REF!</definedName>
    <definedName name="_____42">#REF!</definedName>
    <definedName name="_____43">#REF!</definedName>
    <definedName name="_____44">#REF!</definedName>
    <definedName name="_____45">#REF!</definedName>
    <definedName name="_____46">#REF!</definedName>
    <definedName name="_____47">#REF!</definedName>
    <definedName name="_____48">#REF!</definedName>
    <definedName name="_____49">#REF!</definedName>
    <definedName name="_____5">#REF!</definedName>
    <definedName name="_____50">#REF!</definedName>
    <definedName name="_____51">#REF!</definedName>
    <definedName name="_____52">#REF!</definedName>
    <definedName name="_____53">#REF!</definedName>
    <definedName name="_____54">#REF!</definedName>
    <definedName name="_____55">#REF!</definedName>
    <definedName name="_____56">#REF!</definedName>
    <definedName name="_____57">[4]Лист1!#REF!</definedName>
    <definedName name="_____58">#REF!</definedName>
    <definedName name="_____59">#REF!</definedName>
    <definedName name="_____6">#REF!</definedName>
    <definedName name="_____60">#REF!</definedName>
    <definedName name="_____61">#REF!</definedName>
    <definedName name="_____62">#REF!</definedName>
    <definedName name="_____63">#REF!</definedName>
    <definedName name="_____64">#REF!</definedName>
    <definedName name="_____65">#REF!</definedName>
    <definedName name="_____66">#REF!</definedName>
    <definedName name="_____67">#REF!</definedName>
    <definedName name="_____68">#REF!</definedName>
    <definedName name="_____69">#REF!</definedName>
    <definedName name="_____7">#REF!</definedName>
    <definedName name="_____70">#REF!</definedName>
    <definedName name="_____71">#REF!</definedName>
    <definedName name="_____72">#REF!</definedName>
    <definedName name="_____73">#REF!</definedName>
    <definedName name="_____74">#REF!</definedName>
    <definedName name="_____75">#REF!</definedName>
    <definedName name="_____76">#REF!</definedName>
    <definedName name="_____77">#REF!</definedName>
    <definedName name="_____78">#REF!</definedName>
    <definedName name="_____79">#REF!</definedName>
    <definedName name="_____8">#REF!</definedName>
    <definedName name="_____80">#REF!</definedName>
    <definedName name="_____81">#REF!</definedName>
    <definedName name="_____82">#REF!</definedName>
    <definedName name="_____83">#REF!</definedName>
    <definedName name="_____84">#REF!</definedName>
    <definedName name="_____85">#REF!</definedName>
    <definedName name="_____86">#REF!</definedName>
    <definedName name="_____87">#REF!</definedName>
    <definedName name="_____88">#REF!</definedName>
    <definedName name="_____89">#REF!</definedName>
    <definedName name="_____9">#REF!</definedName>
    <definedName name="_____90">[4]Лист1!#REF!</definedName>
    <definedName name="_____91">#REF!</definedName>
    <definedName name="_____92">#REF!</definedName>
    <definedName name="_____93">#REF!</definedName>
    <definedName name="_____94">#REF!</definedName>
    <definedName name="_____95">#REF!</definedName>
    <definedName name="_____96">#REF!</definedName>
    <definedName name="_____97">#REF!</definedName>
    <definedName name="_____98">#REF!</definedName>
    <definedName name="_____99">#REF!</definedName>
    <definedName name="_____c" hidden="1">{"ÜBERSICHT",#N/A,FALSE,"ABW KUM";"Kostenzoom",#N/A,FALSE,"ABW KUM";"ÜBERSICHT",#N/A,FALSE,"ABW HORE";"Kostenzoom",#N/A,FALSE,"ABW HORE"}</definedName>
    <definedName name="_____CF2" hidden="1">{"Output%",#N/A,FALSE,"Output"}</definedName>
    <definedName name="_____hkf8" hidden="1">{"glc1",#N/A,FALSE,"GLC";"glc2",#N/A,FALSE,"GLC";"glc3",#N/A,FALSE,"GLC";"glc4",#N/A,FALSE,"GLC";"glc5",#N/A,FALSE,"GLC"}</definedName>
    <definedName name="_____j1">#REF!</definedName>
    <definedName name="_____PR1">#REF!</definedName>
    <definedName name="_____PR2">#REF!</definedName>
    <definedName name="_____PR3">#REF!</definedName>
    <definedName name="_____PR4">#REF!</definedName>
    <definedName name="_____PR5">#REF!</definedName>
    <definedName name="_____RAC1" hidden="1">#REF!</definedName>
    <definedName name="_____RI1">#REF!</definedName>
    <definedName name="_____RR1">#REF!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SDU99">[1]ЗАО_н.ит!#REF!</definedName>
    <definedName name="_____SQ1">[2]Исход.инф.!$B$7</definedName>
    <definedName name="_____SQ2">[2]Исход.инф.!$B$8</definedName>
    <definedName name="_____SQ3">[2]Исход.инф.!$B$9</definedName>
    <definedName name="_____SQ4">[2]Исход.инф.!$B$10</definedName>
    <definedName name="_____USD99">[1]ЗАО_н.ит!#REF!</definedName>
    <definedName name="_____wrn1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1">#REF!</definedName>
    <definedName name="____10">#REF!</definedName>
    <definedName name="____100">#REF!</definedName>
    <definedName name="____101">#REF!</definedName>
    <definedName name="____102">#REF!</definedName>
    <definedName name="____103">#REF!</definedName>
    <definedName name="____104">#REF!</definedName>
    <definedName name="____105">#REF!</definedName>
    <definedName name="____106">#REF!</definedName>
    <definedName name="____107">#REF!</definedName>
    <definedName name="____108">#REF!</definedName>
    <definedName name="____109">#REF!</definedName>
    <definedName name="____11">#REF!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5">#REF!</definedName>
    <definedName name="____116">#REF!</definedName>
    <definedName name="____117">#REF!</definedName>
    <definedName name="____118">#REF!</definedName>
    <definedName name="____119">#REF!</definedName>
    <definedName name="____12">#REF!</definedName>
    <definedName name="____120">#REF!</definedName>
    <definedName name="____121">#REF!</definedName>
    <definedName name="____122">#REF!</definedName>
    <definedName name="____123">#REF!</definedName>
    <definedName name="____124">#REF!</definedName>
    <definedName name="____125">#REF!</definedName>
    <definedName name="____126">#REF!</definedName>
    <definedName name="____127">[4]Лист1!#REF!</definedName>
    <definedName name="____128">#REF!</definedName>
    <definedName name="____129">#REF!</definedName>
    <definedName name="____13">#REF!</definedName>
    <definedName name="____130">#REF!</definedName>
    <definedName name="____131">[4]Лист1!#REF!</definedName>
    <definedName name="____132">#REF!</definedName>
    <definedName name="____133">#REF!</definedName>
    <definedName name="____134">#REF!</definedName>
    <definedName name="____135">#REF!</definedName>
    <definedName name="____136">#REF!</definedName>
    <definedName name="____137">#REF!</definedName>
    <definedName name="____138">#REF!</definedName>
    <definedName name="____139">#REF!</definedName>
    <definedName name="____14">#REF!</definedName>
    <definedName name="____140">#REF!</definedName>
    <definedName name="____141">#REF!</definedName>
    <definedName name="____142">#REF!</definedName>
    <definedName name="____143">#REF!</definedName>
    <definedName name="____144">#REF!</definedName>
    <definedName name="____145">#REF!</definedName>
    <definedName name="____146">#REF!</definedName>
    <definedName name="____147">#REF!</definedName>
    <definedName name="____148">#REF!</definedName>
    <definedName name="____149">#REF!</definedName>
    <definedName name="____15">[4]Лист1!#REF!</definedName>
    <definedName name="____150">#REF!</definedName>
    <definedName name="____151">#REF!</definedName>
    <definedName name="____152">#REF!</definedName>
    <definedName name="____153">[4]Лист1!#REF!</definedName>
    <definedName name="____154">#REF!</definedName>
    <definedName name="____155">#REF!</definedName>
    <definedName name="____156">#REF!</definedName>
    <definedName name="____157">#REF!</definedName>
    <definedName name="____158">#REF!</definedName>
    <definedName name="____159">#REF!</definedName>
    <definedName name="____16">#REF!</definedName>
    <definedName name="____160">[4]Лист1!#REF!</definedName>
    <definedName name="____161">#REF!</definedName>
    <definedName name="____162">#REF!</definedName>
    <definedName name="____163">#REF!</definedName>
    <definedName name="____164">#REF!</definedName>
    <definedName name="____165">[4]Лист1!#REF!</definedName>
    <definedName name="____166">#REF!</definedName>
    <definedName name="____167">#REF!</definedName>
    <definedName name="____168">#REF!</definedName>
    <definedName name="____169">#REF!</definedName>
    <definedName name="____17">#REF!</definedName>
    <definedName name="____170">#REF!</definedName>
    <definedName name="____171">#REF!</definedName>
    <definedName name="____172">#REF!</definedName>
    <definedName name="____173">#REF!</definedName>
    <definedName name="____174">#REF!</definedName>
    <definedName name="____175">#REF!</definedName>
    <definedName name="____176">#REF!</definedName>
    <definedName name="____177">#REF!</definedName>
    <definedName name="____178">#REF!</definedName>
    <definedName name="____179">#REF!</definedName>
    <definedName name="____18">#REF!</definedName>
    <definedName name="____180">#REF!</definedName>
    <definedName name="____181">#REF!</definedName>
    <definedName name="____182">#REF!</definedName>
    <definedName name="____183">#REF!</definedName>
    <definedName name="____184">#REF!</definedName>
    <definedName name="____185">#REF!</definedName>
    <definedName name="____186">#REF!</definedName>
    <definedName name="____187">#REF!</definedName>
    <definedName name="____188">#REF!</definedName>
    <definedName name="____189">#REF!</definedName>
    <definedName name="____19">#REF!</definedName>
    <definedName name="____190">#REF!</definedName>
    <definedName name="____191">#REF!</definedName>
    <definedName name="____192">#REF!</definedName>
    <definedName name="____193">#REF!</definedName>
    <definedName name="____194">#REF!</definedName>
    <definedName name="____195">#REF!</definedName>
    <definedName name="____196">#REF!</definedName>
    <definedName name="____197">#REF!</definedName>
    <definedName name="____198">#REF!</definedName>
    <definedName name="____199">#REF!</definedName>
    <definedName name="____2">#REF!</definedName>
    <definedName name="____20">#REF!</definedName>
    <definedName name="____200">#REF!</definedName>
    <definedName name="____201">#REF!</definedName>
    <definedName name="____202">#REF!</definedName>
    <definedName name="____203">#REF!</definedName>
    <definedName name="____204">#REF!</definedName>
    <definedName name="____205">#REF!</definedName>
    <definedName name="____206">#REF!</definedName>
    <definedName name="____207">#REF!</definedName>
    <definedName name="____208">#REF!</definedName>
    <definedName name="____209">#REF!</definedName>
    <definedName name="____21">#REF!</definedName>
    <definedName name="____210">#REF!</definedName>
    <definedName name="____211">#REF!</definedName>
    <definedName name="____212">#REF!</definedName>
    <definedName name="____213">#REF!</definedName>
    <definedName name="____214">#REF!</definedName>
    <definedName name="____215">#REF!</definedName>
    <definedName name="____216">#REF!</definedName>
    <definedName name="____217">#REF!</definedName>
    <definedName name="____218">#REF!</definedName>
    <definedName name="____219">#REF!</definedName>
    <definedName name="____22">#REF!</definedName>
    <definedName name="____220">#REF!</definedName>
    <definedName name="____221">#REF!</definedName>
    <definedName name="____222">#REF!</definedName>
    <definedName name="____223">#REF!</definedName>
    <definedName name="____224">#REF!</definedName>
    <definedName name="____225">#REF!</definedName>
    <definedName name="____226">#REF!</definedName>
    <definedName name="____227">#REF!</definedName>
    <definedName name="____228">#REF!</definedName>
    <definedName name="____229">#REF!</definedName>
    <definedName name="____23">#REF!</definedName>
    <definedName name="____230">#REF!</definedName>
    <definedName name="____231">#REF!</definedName>
    <definedName name="____232">#REF!</definedName>
    <definedName name="____233">#REF!</definedName>
    <definedName name="____234">#REF!</definedName>
    <definedName name="____235">#REF!</definedName>
    <definedName name="____236">#REF!</definedName>
    <definedName name="____237">#REF!</definedName>
    <definedName name="____238">#REF!</definedName>
    <definedName name="____239">#REF!</definedName>
    <definedName name="____24">#REF!</definedName>
    <definedName name="____240">#REF!</definedName>
    <definedName name="____241">#REF!</definedName>
    <definedName name="____242">[4]Лист1!#REF!</definedName>
    <definedName name="____243">[4]Лист1!#REF!</definedName>
    <definedName name="____244">#REF!</definedName>
    <definedName name="____245">#REF!</definedName>
    <definedName name="____246">#REF!</definedName>
    <definedName name="____247">#REF!</definedName>
    <definedName name="____248">#REF!</definedName>
    <definedName name="____249">[4]Лист1!#REF!</definedName>
    <definedName name="____25">#REF!</definedName>
    <definedName name="____250">#REF!</definedName>
    <definedName name="____251">#REF!</definedName>
    <definedName name="____252">#REF!</definedName>
    <definedName name="____253">#REF!</definedName>
    <definedName name="____254">#REF!</definedName>
    <definedName name="____255">[4]Лист1!#REF!</definedName>
    <definedName name="____256">#REF!</definedName>
    <definedName name="____26">#REF!</definedName>
    <definedName name="____27">#REF!</definedName>
    <definedName name="____28">#REF!</definedName>
    <definedName name="____29">#REF!</definedName>
    <definedName name="____3">#REF!</definedName>
    <definedName name="____30">#REF!</definedName>
    <definedName name="____31">#REF!</definedName>
    <definedName name="____32">#REF!</definedName>
    <definedName name="____33">#REF!</definedName>
    <definedName name="____34">#REF!</definedName>
    <definedName name="____35">#REF!</definedName>
    <definedName name="____36">#REF!</definedName>
    <definedName name="____37">#REF!</definedName>
    <definedName name="____38">#REF!</definedName>
    <definedName name="____39">#REF!</definedName>
    <definedName name="____4">#REF!</definedName>
    <definedName name="____40">#REF!</definedName>
    <definedName name="____41">#REF!</definedName>
    <definedName name="____42">#REF!</definedName>
    <definedName name="____43">#REF!</definedName>
    <definedName name="____44">#REF!</definedName>
    <definedName name="____45">#REF!</definedName>
    <definedName name="____46">#REF!</definedName>
    <definedName name="____47">#REF!</definedName>
    <definedName name="____48">#REF!</definedName>
    <definedName name="____49">#REF!</definedName>
    <definedName name="____5">#REF!</definedName>
    <definedName name="____50">#REF!</definedName>
    <definedName name="____51">#REF!</definedName>
    <definedName name="____52">#REF!</definedName>
    <definedName name="____53">#REF!</definedName>
    <definedName name="____54">#REF!</definedName>
    <definedName name="____55">#REF!</definedName>
    <definedName name="____56">#REF!</definedName>
    <definedName name="____57">[4]Лист1!#REF!</definedName>
    <definedName name="____58">#REF!</definedName>
    <definedName name="____59">#REF!</definedName>
    <definedName name="____6">#REF!</definedName>
    <definedName name="____60">#REF!</definedName>
    <definedName name="____61">#REF!</definedName>
    <definedName name="____62">#REF!</definedName>
    <definedName name="____63">#REF!</definedName>
    <definedName name="____64">#REF!</definedName>
    <definedName name="____65">#REF!</definedName>
    <definedName name="____66">#REF!</definedName>
    <definedName name="____67">#REF!</definedName>
    <definedName name="____68">#REF!</definedName>
    <definedName name="____69">#REF!</definedName>
    <definedName name="____7">#REF!</definedName>
    <definedName name="____70">#REF!</definedName>
    <definedName name="____71">#REF!</definedName>
    <definedName name="____72">#REF!</definedName>
    <definedName name="____73">#REF!</definedName>
    <definedName name="____74">#REF!</definedName>
    <definedName name="____75">#REF!</definedName>
    <definedName name="____76">#REF!</definedName>
    <definedName name="____77">#REF!</definedName>
    <definedName name="____78">#REF!</definedName>
    <definedName name="____79">#REF!</definedName>
    <definedName name="____8">#REF!</definedName>
    <definedName name="____80">#REF!</definedName>
    <definedName name="____81">#REF!</definedName>
    <definedName name="____82">#REF!</definedName>
    <definedName name="____83">#REF!</definedName>
    <definedName name="____84">#REF!</definedName>
    <definedName name="____85">#REF!</definedName>
    <definedName name="____86">#REF!</definedName>
    <definedName name="____87">#REF!</definedName>
    <definedName name="____88">#REF!</definedName>
    <definedName name="____89">#REF!</definedName>
    <definedName name="____9">#REF!</definedName>
    <definedName name="____90">[4]Лист1!#REF!</definedName>
    <definedName name="____91">#REF!</definedName>
    <definedName name="____92">#REF!</definedName>
    <definedName name="____93">#REF!</definedName>
    <definedName name="____94">#REF!</definedName>
    <definedName name="____95">#REF!</definedName>
    <definedName name="____96">#REF!</definedName>
    <definedName name="____97">#REF!</definedName>
    <definedName name="____98">#REF!</definedName>
    <definedName name="____99">#REF!</definedName>
    <definedName name="____c" hidden="1">{"ÜBERSICHT",#N/A,FALSE,"ABW KUM";"Kostenzoom",#N/A,FALSE,"ABW KUM";"ÜBERSICHT",#N/A,FALSE,"ABW HORE";"Kostenzoom",#N/A,FALSE,"ABW HORE"}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j1">#REF!</definedName>
    <definedName name="____PR1">#REF!</definedName>
    <definedName name="____PR1204">#REF!</definedName>
    <definedName name="____PR2">#REF!</definedName>
    <definedName name="____PR3">#REF!</definedName>
    <definedName name="____PR4">#REF!</definedName>
    <definedName name="____PR5">#REF!</definedName>
    <definedName name="____RAC1" hidden="1">#REF!</definedName>
    <definedName name="____RI1">#REF!</definedName>
    <definedName name="____RR1">#REF!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U99">[1]ЗАО_н.ит!#REF!</definedName>
    <definedName name="____SQ1">[2]Исход.инф.!$B$7</definedName>
    <definedName name="____SQ2">[2]Исход.инф.!$B$8</definedName>
    <definedName name="____SQ3">[2]Исход.инф.!$B$9</definedName>
    <definedName name="____SQ4">[2]Исход.инф.!$B$10</definedName>
    <definedName name="____USD99">[1]ЗАО_н.ит!#REF!</definedName>
    <definedName name="____wrn1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11" hidden="1">#REF!</definedName>
    <definedName name="___123" hidden="1">#REF!</definedName>
    <definedName name="___c" hidden="1">{"ÜBERSICHT",#N/A,FALSE,"ABW KUM";"Kostenzoom",#N/A,FALSE,"ABW KUM";"ÜBERSICHT",#N/A,FALSE,"ABW HORE";"Kostenzoom",#N/A,FALSE,"ABW HORE"}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j1">#REF!</definedName>
    <definedName name="___PR1">#REF!</definedName>
    <definedName name="___PR1204">#REF!</definedName>
    <definedName name="___PR2">#REF!</definedName>
    <definedName name="___PR3">#REF!</definedName>
    <definedName name="___PR4">#REF!</definedName>
    <definedName name="___PR5">#REF!</definedName>
    <definedName name="___RAC1" hidden="1">#REF!</definedName>
    <definedName name="___RI1">#REF!</definedName>
    <definedName name="___RR1">#REF!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U99">[5]ЗАО_н.ит!#REF!</definedName>
    <definedName name="___SQ1">[2]Исход.инф.!$B$7</definedName>
    <definedName name="___SQ2">[2]Исход.инф.!$B$8</definedName>
    <definedName name="___SQ3">[2]Исход.инф.!$B$9</definedName>
    <definedName name="___SQ4">[2]Исход.инф.!$B$10</definedName>
    <definedName name="___USD99">[5]ЗАО_н.ит!#REF!</definedName>
    <definedName name="___wrn1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">#REF!</definedName>
    <definedName name="__1__123Graph_ACHART_4" hidden="1">#REF!</definedName>
    <definedName name="__10">#REF!</definedName>
    <definedName name="__100">#REF!</definedName>
    <definedName name="__101">#REF!</definedName>
    <definedName name="__102">#REF!</definedName>
    <definedName name="__103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5">#REF!</definedName>
    <definedName name="__116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12" hidden="1">#REF!</definedName>
    <definedName name="__122">#REF!</definedName>
    <definedName name="__123" hidden="1">#REF!</definedName>
    <definedName name="__123_" hidden="1">#REF!</definedName>
    <definedName name="__123123" hidden="1">#REF!</definedName>
    <definedName name="__123Graph" hidden="1">[6]RSOILBAL!#REF!</definedName>
    <definedName name="__123Graph_A" hidden="1">[7]T1!#REF!</definedName>
    <definedName name="__123Graph_ACRPIE90" hidden="1">[8]RSOILBAL!#REF!</definedName>
    <definedName name="__123Graph_ACRPIE91" hidden="1">[8]RSOILBAL!#REF!</definedName>
    <definedName name="__123Graph_ACRPIE92" hidden="1">[8]RSOILBAL!#REF!</definedName>
    <definedName name="__123Graph_ACRPIE93" hidden="1">[8]RSOILBAL!#REF!</definedName>
    <definedName name="__123Graph_AMAIN" hidden="1">'[9]#ССЫЛКА'!#REF!</definedName>
    <definedName name="__123Graph_B" hidden="1">[7]T1!#REF!</definedName>
    <definedName name="__123Graph_C" hidden="1">[10]MAIN!#REF!</definedName>
    <definedName name="__123Graph_D" hidden="1">[11]Proforma!#REF!</definedName>
    <definedName name="__123Graph_E" hidden="1">[10]MAIN!#REF!</definedName>
    <definedName name="__123Graph_F" hidden="1">[10]MAIN!#REF!</definedName>
    <definedName name="__123Graph_LBL_A" hidden="1">[8]RSOILBAL!#REF!</definedName>
    <definedName name="__123Graph_LBL_ACRPIE90" hidden="1">[8]RSOILBAL!#REF!</definedName>
    <definedName name="__123Graph_LBL_ACRPIE91" hidden="1">[8]RSOILBAL!#REF!</definedName>
    <definedName name="__123Graph_LBL_ACRPIE92" hidden="1">[8]RSOILBAL!#REF!</definedName>
    <definedName name="__123Graph_LBL_ACRPIE93" hidden="1">[8]RSOILBAL!#REF!</definedName>
    <definedName name="__123Graph_X" hidden="1">[7]T1!#REF!</definedName>
    <definedName name="__123Graph_XDuPont" hidden="1">[10]MAIN!#REF!</definedName>
    <definedName name="__124">#REF!</definedName>
    <definedName name="__125">#REF!</definedName>
    <definedName name="__126">#REF!</definedName>
    <definedName name="__127">[4]Лист1!#REF!</definedName>
    <definedName name="__128">#REF!</definedName>
    <definedName name="__129">#REF!</definedName>
    <definedName name="__13">#REF!</definedName>
    <definedName name="__130">#REF!</definedName>
    <definedName name="__131">[4]Лист1!#REF!</definedName>
    <definedName name="__132">#REF!</definedName>
    <definedName name="__133">#REF!</definedName>
    <definedName name="__134">#REF!</definedName>
    <definedName name="__135">#REF!</definedName>
    <definedName name="__136">#REF!</definedName>
    <definedName name="__137">#REF!</definedName>
    <definedName name="__138">#REF!</definedName>
    <definedName name="__139">#REF!</definedName>
    <definedName name="__14">#REF!</definedName>
    <definedName name="__140">#REF!</definedName>
    <definedName name="__141">#REF!</definedName>
    <definedName name="__142">#REF!</definedName>
    <definedName name="__143">#REF!</definedName>
    <definedName name="__144">#REF!</definedName>
    <definedName name="__145">#REF!</definedName>
    <definedName name="__146">#REF!</definedName>
    <definedName name="__147">#REF!</definedName>
    <definedName name="__148">#REF!</definedName>
    <definedName name="__149">#REF!</definedName>
    <definedName name="__15">[4]Лист1!#REF!</definedName>
    <definedName name="__150">#REF!</definedName>
    <definedName name="__151">#REF!</definedName>
    <definedName name="__152">#REF!</definedName>
    <definedName name="__153">[4]Лист1!#REF!</definedName>
    <definedName name="__154">#REF!</definedName>
    <definedName name="__155">#REF!</definedName>
    <definedName name="__156">#REF!</definedName>
    <definedName name="__157">#REF!</definedName>
    <definedName name="__158">#REF!</definedName>
    <definedName name="__159">#REF!</definedName>
    <definedName name="__16">#REF!</definedName>
    <definedName name="__160">[4]Лист1!#REF!</definedName>
    <definedName name="__161">#REF!</definedName>
    <definedName name="__162">#REF!</definedName>
    <definedName name="__163">#REF!</definedName>
    <definedName name="__164">#REF!</definedName>
    <definedName name="__165">[4]Лист1!#REF!</definedName>
    <definedName name="__166">#REF!</definedName>
    <definedName name="__167">#REF!</definedName>
    <definedName name="__168">#REF!</definedName>
    <definedName name="__169">#REF!</definedName>
    <definedName name="__17">#REF!</definedName>
    <definedName name="__170">#REF!</definedName>
    <definedName name="__171">#REF!</definedName>
    <definedName name="__172">#REF!</definedName>
    <definedName name="__173">#REF!</definedName>
    <definedName name="__174">#REF!</definedName>
    <definedName name="__175">#REF!</definedName>
    <definedName name="__176">#REF!</definedName>
    <definedName name="__177">#REF!</definedName>
    <definedName name="__178">#REF!</definedName>
    <definedName name="__179">#REF!</definedName>
    <definedName name="__18">#REF!</definedName>
    <definedName name="__180">#REF!</definedName>
    <definedName name="__181">#REF!</definedName>
    <definedName name="__182">#REF!</definedName>
    <definedName name="__183">#REF!</definedName>
    <definedName name="__184">#REF!</definedName>
    <definedName name="__185">#REF!</definedName>
    <definedName name="__186">#REF!</definedName>
    <definedName name="__187">#REF!</definedName>
    <definedName name="__188">#REF!</definedName>
    <definedName name="__189">#REF!</definedName>
    <definedName name="__19">#REF!</definedName>
    <definedName name="__190">#REF!</definedName>
    <definedName name="__191">#REF!</definedName>
    <definedName name="__192">#REF!</definedName>
    <definedName name="__193">#REF!</definedName>
    <definedName name="__194">#REF!</definedName>
    <definedName name="__195">#REF!</definedName>
    <definedName name="__196">#REF!</definedName>
    <definedName name="__197">#REF!</definedName>
    <definedName name="__1975">[4]Лист1!#REF!</definedName>
    <definedName name="__198">#REF!</definedName>
    <definedName name="__199">#REF!</definedName>
    <definedName name="__2">#REF!</definedName>
    <definedName name="__2__123Graph_XCHART_3" hidden="1">#REF!</definedName>
    <definedName name="__20">#REF!</definedName>
    <definedName name="__200">#REF!</definedName>
    <definedName name="__201">#REF!</definedName>
    <definedName name="__202">#REF!</definedName>
    <definedName name="__203">#REF!</definedName>
    <definedName name="__204">#REF!</definedName>
    <definedName name="__205">#REF!</definedName>
    <definedName name="__206">#REF!</definedName>
    <definedName name="__207">#REF!</definedName>
    <definedName name="__208">#REF!</definedName>
    <definedName name="__209">#REF!</definedName>
    <definedName name="__21">#REF!</definedName>
    <definedName name="__210">#REF!</definedName>
    <definedName name="__211">#REF!</definedName>
    <definedName name="__212">#REF!</definedName>
    <definedName name="__213">#REF!</definedName>
    <definedName name="__214">#REF!</definedName>
    <definedName name="__215">#REF!</definedName>
    <definedName name="__216">#REF!</definedName>
    <definedName name="__217">#REF!</definedName>
    <definedName name="__218">#REF!</definedName>
    <definedName name="__219">#REF!</definedName>
    <definedName name="__22">#REF!</definedName>
    <definedName name="__220">#REF!</definedName>
    <definedName name="__221">#REF!</definedName>
    <definedName name="__222">#REF!</definedName>
    <definedName name="__223">#REF!</definedName>
    <definedName name="__224">#REF!</definedName>
    <definedName name="__225">#REF!</definedName>
    <definedName name="__226">#REF!</definedName>
    <definedName name="__227">#REF!</definedName>
    <definedName name="__228">#REF!</definedName>
    <definedName name="__229">#REF!</definedName>
    <definedName name="__23">#REF!</definedName>
    <definedName name="__230">#REF!</definedName>
    <definedName name="__231">#REF!</definedName>
    <definedName name="__232">#REF!</definedName>
    <definedName name="__233">#REF!</definedName>
    <definedName name="__234">#REF!</definedName>
    <definedName name="__235">#REF!</definedName>
    <definedName name="__236">#REF!</definedName>
    <definedName name="__237">#REF!</definedName>
    <definedName name="__238">#REF!</definedName>
    <definedName name="__239">#REF!</definedName>
    <definedName name="__24">#REF!</definedName>
    <definedName name="__240">#REF!</definedName>
    <definedName name="__241">#REF!</definedName>
    <definedName name="__242">[4]Лист1!#REF!</definedName>
    <definedName name="__243">[4]Лист1!#REF!</definedName>
    <definedName name="__244">#REF!</definedName>
    <definedName name="__245">#REF!</definedName>
    <definedName name="__246">#REF!</definedName>
    <definedName name="__247">#REF!</definedName>
    <definedName name="__248">#REF!</definedName>
    <definedName name="__249">[4]Лист1!#REF!</definedName>
    <definedName name="__25">#REF!</definedName>
    <definedName name="__250">#REF!</definedName>
    <definedName name="__251">#REF!</definedName>
    <definedName name="__252">#REF!</definedName>
    <definedName name="__253">#REF!</definedName>
    <definedName name="__254">#REF!</definedName>
    <definedName name="__255">[4]Лист1!#REF!</definedName>
    <definedName name="__256">#REF!</definedName>
    <definedName name="__26">#REF!</definedName>
    <definedName name="__27">#REF!</definedName>
    <definedName name="__28">#REF!</definedName>
    <definedName name="__29">#REF!</definedName>
    <definedName name="__3">#REF!</definedName>
    <definedName name="__3__123Graph_XCHART_4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0">#REF!</definedName>
    <definedName name="__41">#REF!</definedName>
    <definedName name="__42">#REF!</definedName>
    <definedName name="__43">#REF!</definedName>
    <definedName name="__44">#REF!</definedName>
    <definedName name="__45">#REF!</definedName>
    <definedName name="__46">#REF!</definedName>
    <definedName name="__47">#REF!</definedName>
    <definedName name="__48">#REF!</definedName>
    <definedName name="__49">#REF!</definedName>
    <definedName name="__4aaa" hidden="1">{#N/A,#N/A,FALSE,"Aging Summary";#N/A,#N/A,FALSE,"Ratio Analysis";#N/A,#N/A,FALSE,"Test 120 Day Accts";#N/A,#N/A,FALSE,"Tickmarks"}</definedName>
    <definedName name="__5">#REF!</definedName>
    <definedName name="__50">#REF!</definedName>
    <definedName name="__51">#REF!</definedName>
    <definedName name="__52">#REF!</definedName>
    <definedName name="__53">#REF!</definedName>
    <definedName name="__54">#REF!</definedName>
    <definedName name="__55">#REF!</definedName>
    <definedName name="__56">#REF!</definedName>
    <definedName name="__57">[4]Лист1!#REF!</definedName>
    <definedName name="__58">#REF!</definedName>
    <definedName name="__59">#REF!</definedName>
    <definedName name="__6">#REF!</definedName>
    <definedName name="__60">#REF!</definedName>
    <definedName name="__61">#REF!</definedName>
    <definedName name="__62">#REF!</definedName>
    <definedName name="__63">#REF!</definedName>
    <definedName name="__64">#REF!</definedName>
    <definedName name="__65">#REF!</definedName>
    <definedName name="__66">#REF!</definedName>
    <definedName name="__67">#REF!</definedName>
    <definedName name="__68">#REF!</definedName>
    <definedName name="__69">#REF!</definedName>
    <definedName name="__7">#REF!</definedName>
    <definedName name="__70">#REF!</definedName>
    <definedName name="__71">#REF!</definedName>
    <definedName name="__72">#REF!</definedName>
    <definedName name="__73">#REF!</definedName>
    <definedName name="__74">#REF!</definedName>
    <definedName name="__75">#REF!</definedName>
    <definedName name="__76">#REF!</definedName>
    <definedName name="__77">#REF!</definedName>
    <definedName name="__78">#REF!</definedName>
    <definedName name="__79">#REF!</definedName>
    <definedName name="__8">#REF!</definedName>
    <definedName name="__80">#REF!</definedName>
    <definedName name="__81">#REF!</definedName>
    <definedName name="__82">#REF!</definedName>
    <definedName name="__83">#REF!</definedName>
    <definedName name="__84">#REF!</definedName>
    <definedName name="__85">#REF!</definedName>
    <definedName name="__86">#REF!</definedName>
    <definedName name="__87">#REF!</definedName>
    <definedName name="__88">#REF!</definedName>
    <definedName name="__89">#REF!</definedName>
    <definedName name="__9">#REF!</definedName>
    <definedName name="__90">[4]Лист1!#REF!</definedName>
    <definedName name="__91">#REF!</definedName>
    <definedName name="__92">#REF!</definedName>
    <definedName name="__93">#REF!</definedName>
    <definedName name="__94">#REF!</definedName>
    <definedName name="__95">#REF!</definedName>
    <definedName name="__96">#REF!</definedName>
    <definedName name="__96__">'[12]Актив Л1'!$L$5:$AA$5</definedName>
    <definedName name="__97">#REF!</definedName>
    <definedName name="__98">#REF!</definedName>
    <definedName name="__99">#REF!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F_MEC">#N/A</definedName>
    <definedName name="__IntlFixup" hidden="1">TRUE</definedName>
    <definedName name="__j1">#REF!</definedName>
    <definedName name="__ot97" hidden="1">#REF!,#REF!,#REF!,#REF!,#REF!,#REF!,#REF!</definedName>
    <definedName name="__PR1">#REF!</definedName>
    <definedName name="__PR1204">#REF!</definedName>
    <definedName name="__PR2">#REF!</definedName>
    <definedName name="__PR3">#REF!</definedName>
    <definedName name="__PR4">#REF!</definedName>
    <definedName name="__PR5">#REF!</definedName>
    <definedName name="__RAC1" hidden="1">#REF!</definedName>
    <definedName name="__RI1">#REF!</definedName>
    <definedName name="__RR1">#REF!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Q1">[2]Исход.инф.!$B$7</definedName>
    <definedName name="__SQ2">[2]Исход.инф.!$B$8</definedName>
    <definedName name="__SQ3">[2]Исход.инф.!$B$9</definedName>
    <definedName name="__SQ4">[2]Исход.инф.!$B$10</definedName>
    <definedName name="__uu1" hidden="1">{#N/A,#N/A,TRUE,"Engineering Dept";#N/A,#N/A,TRUE,"Sales Dept";#N/A,#N/A,TRUE,"Marketing Dept";#N/A,#N/A,TRUE,"Admin Dept"}</definedName>
    <definedName name="__wrn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_ывы">[4]Лист1!#REF!</definedName>
    <definedName name="_0001">[4]Лист1!$V$58:$V$102</definedName>
    <definedName name="_0002">[4]Лист1!$W$58:$W$102</definedName>
    <definedName name="_0003">[4]Лист1!$V$56:$V$57</definedName>
    <definedName name="_0004">[4]Лист1!$W$56:$W$57</definedName>
    <definedName name="_0005">[4]Лист1!$V$104:$V$165</definedName>
    <definedName name="_0006">[4]Лист1!$W$104:$W$165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USD">#REF!</definedName>
    <definedName name="_10">[4]Лист1!$Y$12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[13]MAIN!#REF!</definedName>
    <definedName name="_100">[4]ЗКР!#REF!</definedName>
    <definedName name="_100____________123Graph_ACHART_4" hidden="1">#REF!</definedName>
    <definedName name="_101">[4]Лист1!$A$88</definedName>
    <definedName name="_101____________123Graph_XCHART_3" hidden="1">#REF!</definedName>
    <definedName name="_102">[4]Лист1!$C$88</definedName>
    <definedName name="_102____________123Graph_XCHART_4" hidden="1">#REF!</definedName>
    <definedName name="_103">[4]Лист1!$D$88</definedName>
    <definedName name="_103___________123Graph_ACHART_4" hidden="1">#REF!</definedName>
    <definedName name="_104">[4]Лист1!$E$88</definedName>
    <definedName name="_104___________123Graph_XCHART_3" hidden="1">#REF!</definedName>
    <definedName name="_105">[4]Лист1!$K$88</definedName>
    <definedName name="_105___________123Graph_XCHART_4" hidden="1">#REF!</definedName>
    <definedName name="_106">[4]Лист1!$L$88</definedName>
    <definedName name="_106__________123Graph_ACHART_4" hidden="1">#REF!</definedName>
    <definedName name="_107">[4]Лист1!$M$88</definedName>
    <definedName name="_107__________123Graph_XCHART_3" hidden="1">#REF!</definedName>
    <definedName name="_108">[4]Лист1!$N$88</definedName>
    <definedName name="_108__________123Graph_XCHART_4" hidden="1">#REF!</definedName>
    <definedName name="_109">[4]Лист1!$O$88</definedName>
    <definedName name="_109_________123Graph_ACHART_4" hidden="1">#REF!</definedName>
    <definedName name="_11">[4]Лист1!$Y$13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[13]MAIN!#REF!</definedName>
    <definedName name="_110">[4]Лист1!$Q$88</definedName>
    <definedName name="_110_________123Graph_XCHART_3" hidden="1">#REF!</definedName>
    <definedName name="_111">[4]Лист1!$Y$113</definedName>
    <definedName name="_111_________123Graph_XCHART_4" hidden="1">#REF!</definedName>
    <definedName name="_112">[4]Лист1!$AA$3</definedName>
    <definedName name="_112________123Graph_ACHART_4" hidden="1">#REF!</definedName>
    <definedName name="_113">[4]Лист1!$T$88</definedName>
    <definedName name="_113________123Graph_XCHART_3" hidden="1">#REF!</definedName>
    <definedName name="_114">[4]ЗКР!$U$89</definedName>
    <definedName name="_114________123Graph_XCHART_4" hidden="1">#REF!</definedName>
    <definedName name="_115">[4]ЗКР!#REF!</definedName>
    <definedName name="_115_______123Graph_ACHART_4" hidden="1">#REF!</definedName>
    <definedName name="_116">[4]Лист1!$V$88</definedName>
    <definedName name="_116_______123Graph_XCHART_3" hidden="1">#REF!</definedName>
    <definedName name="_117">[4]Лист1!$W$88</definedName>
    <definedName name="_117_______123Graph_XCHART_4" hidden="1">#REF!</definedName>
    <definedName name="_118">[4]Лист1!$AF$88</definedName>
    <definedName name="_118______123Graph_ACHART_4" hidden="1">#REF!</definedName>
    <definedName name="_119">[4]Лист1!$AG$88</definedName>
    <definedName name="_119______123Graph_XCHART_3" hidden="1">#REF!</definedName>
    <definedName name="_12">[4]Лист1!$Y$14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[13]MAIN!#REF!</definedName>
    <definedName name="_120">[4]Лист1!$AH$88</definedName>
    <definedName name="_120______123Graph_XCHART_4" hidden="1">#REF!</definedName>
    <definedName name="_121">[4]ЗКР!#REF!</definedName>
    <definedName name="_121_____123Graph_ACHART_4" hidden="1">#REF!</definedName>
    <definedName name="_122">[4]ЗКР!#REF!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[7]T1!#REF!</definedName>
    <definedName name="_12345" hidden="1">[7]T1!#REF!</definedName>
    <definedName name="_124">[4]ЗКР!#REF!</definedName>
    <definedName name="_124____123Graph_ACHART_4" hidden="1">#REF!</definedName>
    <definedName name="_124GraphA" hidden="1">[7]T1!#REF!</definedName>
    <definedName name="_125">[4]ЗКР!#REF!</definedName>
    <definedName name="_125____123Graph_XCHART_3" hidden="1">#REF!</definedName>
    <definedName name="_126">[4]Лист1!$A$90</definedName>
    <definedName name="_126____123Graph_XCHART_4" hidden="1">#REF!</definedName>
    <definedName name="_127">[4]Лист1!$C$90</definedName>
    <definedName name="_127___123Graph_ACHART_4" hidden="1">#REF!</definedName>
    <definedName name="_128">[4]Лист1!$D$90</definedName>
    <definedName name="_128___123Graph_XCHART_3" hidden="1">#REF!</definedName>
    <definedName name="_129">[4]Лист1!$E$90</definedName>
    <definedName name="_129___123Graph_XCHART_4" hidden="1">#REF!</definedName>
    <definedName name="_13">[4]Лист1!$T$11</definedName>
    <definedName name="_13_________________________________________123Graph_ACHART_4" hidden="1">#REF!</definedName>
    <definedName name="_13____________123Graph_XCHART_3" hidden="1">#REF!</definedName>
    <definedName name="_130">[4]Лист1!$K$90</definedName>
    <definedName name="_130__123Graph_ACHART_4" hidden="1">#REF!</definedName>
    <definedName name="_131">[4]Лист1!$L$90</definedName>
    <definedName name="_131__123Graph_XCHART_3" hidden="1">#REF!</definedName>
    <definedName name="_132">[4]Лист1!$M$90</definedName>
    <definedName name="_132__123Graph_XCHART_4" hidden="1">#REF!</definedName>
    <definedName name="_133">[4]Лист1!$N$90</definedName>
    <definedName name="_134">[4]Лист1!$O$90</definedName>
    <definedName name="_134aaa" hidden="1">{#N/A,#N/A,FALSE,"Aging Summary";#N/A,#N/A,FALSE,"Ratio Analysis";#N/A,#N/A,FALSE,"Test 120 Day Accts";#N/A,#N/A,FALSE,"Tickmarks"}</definedName>
    <definedName name="_135">[4]Лист1!$Q$90</definedName>
    <definedName name="_136">[4]Лист1!$R$90</definedName>
    <definedName name="_137">[4]Лист1!$S$90</definedName>
    <definedName name="_138">[4]Лист1!$T$90</definedName>
    <definedName name="_14">[4]Лист1!$U$11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[14]MAIN!#REF!</definedName>
    <definedName name="_140">[4]ЗКР!#REF!</definedName>
    <definedName name="_141">[4]Лист1!$V$90</definedName>
    <definedName name="_142">[4]Лист1!$W$90</definedName>
    <definedName name="_143">[4]Лист1!$AF$90</definedName>
    <definedName name="_144">[4]Лист1!$AG$90</definedName>
    <definedName name="_145">[4]Лист1!$AH$90</definedName>
    <definedName name="_146">[4]ЗКР!#REF!</definedName>
    <definedName name="_147">[4]ЗКР!#REF!</definedName>
    <definedName name="_148">[4]ЗКР!#REF!</definedName>
    <definedName name="_149">[4]ЗКР!#REF!</definedName>
    <definedName name="_15">[4]ЗКР!#REF!</definedName>
    <definedName name="_15_________________________________________123Graph_XCHART_4" hidden="1">#REF!</definedName>
    <definedName name="_15___________123Graph_ACHART_4" hidden="1">#REF!</definedName>
    <definedName name="_150">[4]ЗКР!#REF!</definedName>
    <definedName name="_151">[4]Отгрузка!#REF!</definedName>
    <definedName name="_152">[4]Отгрузка!#REF!</definedName>
    <definedName name="_153">[4]Отгрузка!#REF!</definedName>
    <definedName name="_154">[4]Отгрузка!#REF!</definedName>
    <definedName name="_155">[4]Отгрузка!#REF!</definedName>
    <definedName name="_156">[4]Отгрузка!#REF!</definedName>
    <definedName name="_157">[4]Отгрузка!#REF!</definedName>
    <definedName name="_158">[4]Отгрузка!#REF!</definedName>
    <definedName name="_159">[4]Отгрузка!#REF!</definedName>
    <definedName name="_16">[4]Лист1!$V$11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[15]MAIN!#REF!</definedName>
    <definedName name="_16___123Graph_BЋЎ_а_в­л__Є_ЇЁв" hidden="1">[14]MAIN!#REF!</definedName>
    <definedName name="_16__123Graph_EЋЎ_а_в­л__Є_ЇЁв" hidden="1">[10]MAIN!#REF!</definedName>
    <definedName name="_160">[4]Отгрузка!#REF!</definedName>
    <definedName name="_161">[4]Отгрузка!#REF!</definedName>
    <definedName name="_162">[4]Отгрузка!#REF!</definedName>
    <definedName name="_163">[4]Отгрузка!#REF!</definedName>
    <definedName name="_164">[4]Отгрузка!#REF!</definedName>
    <definedName name="_165">[4]Отгрузка!#REF!</definedName>
    <definedName name="_166">[4]Отгрузка!#REF!</definedName>
    <definedName name="_167">[4]Лист1!$A$8</definedName>
    <definedName name="_168">[4]Лист1!$B$8</definedName>
    <definedName name="_169">[4]Отгрузка!#REF!</definedName>
    <definedName name="_17">[4]Лист1!$W$11</definedName>
    <definedName name="_17________________________________________123Graph_XCHART_3" hidden="1">#REF!</definedName>
    <definedName name="_17___________123Graph_XCHART_4" hidden="1">#REF!</definedName>
    <definedName name="_170">[4]Отгрузка!#REF!</definedName>
    <definedName name="_171">[4]Отгрузка!#REF!</definedName>
    <definedName name="_172">[4]Отгрузка!#REF!</definedName>
    <definedName name="_173">[4]Отгрузка!#REF!</definedName>
    <definedName name="_174">[4]Отгрузка!#REF!</definedName>
    <definedName name="_175">[4]Отгрузка!#REF!</definedName>
    <definedName name="_176">[4]Отгрузка!#REF!</definedName>
    <definedName name="_177">[4]Отгрузка!#REF!</definedName>
    <definedName name="_178">[4]Лист1!$C$8</definedName>
    <definedName name="_179">[4]Лист1!$D$8</definedName>
    <definedName name="_18">[4]Лист1!$AF$11</definedName>
    <definedName name="_18________________________________________123Graph_XCHART_4" hidden="1">#REF!</definedName>
    <definedName name="_18__________123Graph_ACHART_4" hidden="1">#REF!</definedName>
    <definedName name="_180">[4]Лист1!$E$8</definedName>
    <definedName name="_181">[4]Лист1!$F$8</definedName>
    <definedName name="_182">[4]Лист1!$G$8</definedName>
    <definedName name="_183">[4]Лист1!$A$13</definedName>
    <definedName name="_184">[4]Лист1!$B$13</definedName>
    <definedName name="_185">[4]Отгрузка!#REF!</definedName>
    <definedName name="_186">[4]Отгрузка!#REF!</definedName>
    <definedName name="_187">[4]Отгрузка!#REF!</definedName>
    <definedName name="_188">[4]Отгрузка!#REF!</definedName>
    <definedName name="_189">[4]Отгрузка!#REF!</definedName>
    <definedName name="_19">[4]Лист1!$AG$11</definedName>
    <definedName name="_19_______________________________________123Graph_ACHART_4" hidden="1">#REF!</definedName>
    <definedName name="_19__________123Graph_XCHART_3" hidden="1">#REF!</definedName>
    <definedName name="_190">[4]Отгрузка!#REF!</definedName>
    <definedName name="_191">[4]Отгрузка!#REF!</definedName>
    <definedName name="_192">[4]Отгрузка!#REF!</definedName>
    <definedName name="_193">[4]Отгрузка!#REF!</definedName>
    <definedName name="_194">[4]Лист1!$C$13</definedName>
    <definedName name="_195">[4]Лист1!$D$13</definedName>
    <definedName name="_196">[4]Лист1!$E$13</definedName>
    <definedName name="_197">[4]Лист1!$F$13</definedName>
    <definedName name="_198">[4]Лист1!$G$13</definedName>
    <definedName name="_199">[4]Лист1!$A$17</definedName>
    <definedName name="_2">[4]Лист1!$Y$4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[13]MAIN!#REF!</definedName>
    <definedName name="_2____123Graph_XCHART_3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">[4]Лист1!$AH$11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[15]MAIN!#REF!</definedName>
    <definedName name="_20___123Graph_EЋЎ_а_в­л__Є_ЇЁв" hidden="1">[14]MAIN!#REF!</definedName>
    <definedName name="_20__123Graph_XђҐ­в_ЎҐ_м­_бвм" hidden="1">[10]MAIN!#REF!</definedName>
    <definedName name="_200">[4]Лист1!$B$17</definedName>
    <definedName name="_201">[4]Отгрузка!#REF!</definedName>
    <definedName name="_202">[4]Отгрузка!#REF!</definedName>
    <definedName name="_203">[4]Отгрузка!#REF!</definedName>
    <definedName name="_204">[4]Отгрузка!#REF!</definedName>
    <definedName name="_205">[4]Отгрузка!#REF!</definedName>
    <definedName name="_206">[4]Отгрузка!#REF!</definedName>
    <definedName name="_207">[4]Отгрузка!#REF!</definedName>
    <definedName name="_208">[4]Отгрузка!#REF!</definedName>
    <definedName name="_209">[4]Отгрузка!#REF!</definedName>
    <definedName name="_21">[4]ЗКР!#REF!</definedName>
    <definedName name="_21_______________________________________123Graph_XCHART_4" hidden="1">#REF!</definedName>
    <definedName name="_21_________123Graph_ACHART_4" hidden="1">#REF!</definedName>
    <definedName name="_210">[4]Лист1!$C$17</definedName>
    <definedName name="_211">[4]Лист1!$D$17</definedName>
    <definedName name="_213">[4]Лист1!$F$17</definedName>
    <definedName name="_214">[4]Лист1!$G$17</definedName>
    <definedName name="_215">[4]Лист1!$A$25</definedName>
    <definedName name="_216">[4]Лист1!$B$25</definedName>
    <definedName name="_217">[4]Отгрузка!#REF!</definedName>
    <definedName name="_218">[4]Отгрузка!#REF!</definedName>
    <definedName name="_219">[4]Лист1!$C$25</definedName>
    <definedName name="_22">[4]ЗКР!#REF!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[15]MAIN!#REF!</definedName>
    <definedName name="_22___123Graph_XђҐ­в_ЎҐ_м­_бвм" hidden="1">[14]MAIN!#REF!</definedName>
    <definedName name="_22__123Graph_XЋЎ_а_з.__Єв._1" hidden="1">[10]MAIN!#REF!</definedName>
    <definedName name="_220">[4]Лист1!$D$25</definedName>
    <definedName name="_221">[4]Лист1!$E$25</definedName>
    <definedName name="_222">[4]Лист1!$F$25</definedName>
    <definedName name="_223">[4]Лист1!$G$25</definedName>
    <definedName name="_224">[4]Лист1!$H$25</definedName>
    <definedName name="_225">[4]Лист1!$I$25</definedName>
    <definedName name="_226">[4]Лист1!$J$25</definedName>
    <definedName name="_227">[4]Лист1!$K$25</definedName>
    <definedName name="_228">[4]Лист1!$L$25</definedName>
    <definedName name="_229">[4]Лист1!$M$25</definedName>
    <definedName name="_23">[4]ЗКР!#REF!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[14]MAIN!#REF!</definedName>
    <definedName name="_230">[4]Лист1!$N$25</definedName>
    <definedName name="_231">[4]Лист1!$A$30</definedName>
    <definedName name="_232">[4]Лист1!$B$29</definedName>
    <definedName name="_233">[4]Отгрузка!#REF!</definedName>
    <definedName name="_234">[4]Отгрузка!#REF!</definedName>
    <definedName name="_235">[4]Лист1!$C$30</definedName>
    <definedName name="_236">[4]Лист1!$D$30</definedName>
    <definedName name="_237">[4]Лист1!$E$30</definedName>
    <definedName name="_238">[4]Лист1!$F$30</definedName>
    <definedName name="_239">[4]Лист1!$G$30</definedName>
    <definedName name="_24">[4]ЗКР!#REF!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[15]MAIN!#REF!</definedName>
    <definedName name="_24___123Graph_XЋЎ_а_в­л__Є_ЇЁв" hidden="1">[14]MAIN!#REF!</definedName>
    <definedName name="_24__123Graph_XЋЎ_а_в­л__Є_ЇЁв" hidden="1">[10]MAIN!#REF!</definedName>
    <definedName name="_240">[4]Лист1!$H$30</definedName>
    <definedName name="_241">[4]Лист1!$I$30</definedName>
    <definedName name="_242">[4]Лист1!$J$30</definedName>
    <definedName name="_243">[4]Лист1!$K$30</definedName>
    <definedName name="_244">[4]Лист1!$L$30</definedName>
    <definedName name="_245">[4]Лист1!$M$30</definedName>
    <definedName name="_246">[4]Лист1!$N$30</definedName>
    <definedName name="_247">[4]Лист1!$A$33</definedName>
    <definedName name="_248">[4]Лист1!$B$33</definedName>
    <definedName name="_249">[4]Отгрузка!#REF!</definedName>
    <definedName name="_25">[4]ЗКР!#REF!</definedName>
    <definedName name="_25_____________________________________123Graph_ACHART_4" hidden="1">#REF!</definedName>
    <definedName name="_25________123Graph_XCHART_3" hidden="1">#REF!</definedName>
    <definedName name="_250">[4]Отгрузка!#REF!</definedName>
    <definedName name="_251">[4]Лист1!$C$33</definedName>
    <definedName name="_252">[4]Лист1!$D$33</definedName>
    <definedName name="_253">[4]Лист1!$E$33</definedName>
    <definedName name="_254">[4]Лист1!$F$33</definedName>
    <definedName name="_255">[4]Лист1!$G$33</definedName>
    <definedName name="_256">[4]Лист1!$H$33</definedName>
    <definedName name="_257">[4]Лист1!$I$33</definedName>
    <definedName name="_258">[4]Лист1!$J$33</definedName>
    <definedName name="_259">[4]Лист1!$K$33</definedName>
    <definedName name="_26">[4]Лист1!$A$14</definedName>
    <definedName name="_26_____________________________________123Graph_XCHART_3" hidden="1">#REF!</definedName>
    <definedName name="_26________123Graph_XCHART_4" hidden="1">#REF!</definedName>
    <definedName name="_260">[4]Лист1!$L$33</definedName>
    <definedName name="_261">[4]Лист1!$M$33</definedName>
    <definedName name="_262">[4]Лист1!$N$33</definedName>
    <definedName name="_263">[4]Лист1!$A$34</definedName>
    <definedName name="_264">[4]Лист1!$B$34</definedName>
    <definedName name="_265">[4]Отгрузка!#REF!</definedName>
    <definedName name="_266">[4]Отгрузка!#REF!</definedName>
    <definedName name="_267">[4]Лист1!$C$34</definedName>
    <definedName name="_268">[4]Лист1!$D$34</definedName>
    <definedName name="_269">[4]Лист1!$E$34</definedName>
    <definedName name="_27">[4]Лист1!$C$14</definedName>
    <definedName name="_27_____________________________________123Graph_XCHART_4" hidden="1">#REF!</definedName>
    <definedName name="_27_______123Graph_ACHART_4" hidden="1">#REF!</definedName>
    <definedName name="_270">[4]Отгрузка!$F$35</definedName>
    <definedName name="_271">[4]Лист1!$G$34</definedName>
    <definedName name="_272">[4]Лист1!$H$34</definedName>
    <definedName name="_273">[4]Лист1!$I$34</definedName>
    <definedName name="_274">[4]Лист1!$J$34</definedName>
    <definedName name="_275">[4]Лист1!$K$34</definedName>
    <definedName name="_276">[4]Лист1!$L$34</definedName>
    <definedName name="_277">[4]Лист1!$M$34</definedName>
    <definedName name="_278">[4]Лист1!$N$34</definedName>
    <definedName name="_279">[4]Лист1!$A$44</definedName>
    <definedName name="_28">[4]Лист1!$D$14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[16]MAIN!#REF!</definedName>
    <definedName name="_280">[4]Лист1!$B$44</definedName>
    <definedName name="_282">[4]Лист1!$D$44</definedName>
    <definedName name="_284">[4]Лист1!$F$44</definedName>
    <definedName name="_285">[4]Лист1!$G$44</definedName>
    <definedName name="_286">[4]Лист1!$H$44</definedName>
    <definedName name="_287">[4]Лист1!$I$44</definedName>
    <definedName name="_288">[4]Лист1!$J$44</definedName>
    <definedName name="_289">[4]Лист1!$K$44</definedName>
    <definedName name="_29">[4]Лист1!$Y$31</definedName>
    <definedName name="_29____________________________________123Graph_XCHART_3" hidden="1">#REF!</definedName>
    <definedName name="_29_______123Graph_XCHART_4" hidden="1">#REF!</definedName>
    <definedName name="_290">[4]Лист1!$L$44</definedName>
    <definedName name="_291">[4]Лист1!$M$44</definedName>
    <definedName name="_292">[4]Лист1!$N$44</definedName>
    <definedName name="_293">[4]Лист1!$O$44</definedName>
    <definedName name="_294">[4]Лист1!$P$44</definedName>
    <definedName name="_295">[4]Отгрузка!#REF!</definedName>
    <definedName name="_296">[4]Отгрузка!#REF!</definedName>
    <definedName name="_297">[4]Отгрузка!#REF!</definedName>
    <definedName name="_298">[4]Отгрузка!#REF!</definedName>
    <definedName name="_299">[4]Отгрузка!#REF!</definedName>
    <definedName name="_3">[4]Лист1!$D$11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XCHART_4" hidden="1">#REF!</definedName>
    <definedName name="_3__123Graph_BChart_1A" hidden="1">#REF!</definedName>
    <definedName name="_3__123Graph_XCHART_3" hidden="1">#REF!</definedName>
    <definedName name="_3__123Graph_XCHART_4" hidden="1">#REF!</definedName>
    <definedName name="_30">[4]Лист1!$Y$32</definedName>
    <definedName name="_30____________________________________123Graph_XCHART_4" hidden="1">#REF!</definedName>
    <definedName name="_30______123Graph_ACHART_4" hidden="1">#REF!</definedName>
    <definedName name="_300">[4]Отгрузка!#REF!</definedName>
    <definedName name="_301">[4]Отгрузка!#REF!</definedName>
    <definedName name="_302">[4]Отгрузка!#REF!</definedName>
    <definedName name="_303">[4]Отгрузка!#REF!</definedName>
    <definedName name="_304">[4]Отгрузка!#REF!</definedName>
    <definedName name="_305">[4]Отгрузка!#REF!</definedName>
    <definedName name="_306">[4]Отгрузка!#REF!</definedName>
    <definedName name="_307">[4]Отгрузка!#REF!</definedName>
    <definedName name="_308">[4]Отгрузка!#REF!</definedName>
    <definedName name="_309">[4]Отгрузка!#REF!</definedName>
    <definedName name="_31">[4]Лист1!$Y$33</definedName>
    <definedName name="_31___________________________________123Graph_ACHART_4" hidden="1">#REF!</definedName>
    <definedName name="_31______123Graph_XCHART_3" hidden="1">#REF!</definedName>
    <definedName name="_310">[4]Отгрузка!#REF!</definedName>
    <definedName name="_311">[4]Лист1!$A$48</definedName>
    <definedName name="_312">[4]Лист1!$B$48</definedName>
    <definedName name="_313">[4]Лист1!$C$48</definedName>
    <definedName name="_314">[4]Лист1!$D$48</definedName>
    <definedName name="_316">[4]Лист1!$F$48</definedName>
    <definedName name="_317">[4]Лист1!$G$48</definedName>
    <definedName name="_318">[4]Лист1!$H$48</definedName>
    <definedName name="_319">[4]Лист1!$I$48</definedName>
    <definedName name="_32">[4]Лист1!$Y$34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[16]MAIN!#REF!</definedName>
    <definedName name="_320">[4]Лист1!$J$48</definedName>
    <definedName name="_321">[4]Лист1!$K$48</definedName>
    <definedName name="_322">[4]Лист1!$L$48</definedName>
    <definedName name="_323">[4]Лист1!$M$48</definedName>
    <definedName name="_324">[4]Лист1!$N$48</definedName>
    <definedName name="_325">[4]Лист1!$O$48</definedName>
    <definedName name="_326">[4]Лист1!$P$48</definedName>
    <definedName name="_327">[4]Лист1!$A$70</definedName>
    <definedName name="_328">[4]Отгрузка!#REF!</definedName>
    <definedName name="_329">[4]Лист1!$C$69</definedName>
    <definedName name="_33">[4]Лист1!$Y$35</definedName>
    <definedName name="_33___________________________________123Graph_XCHART_4" hidden="1">#REF!</definedName>
    <definedName name="_33_____123Graph_ACHART_4" hidden="1">#REF!</definedName>
    <definedName name="_330">[4]Лист1!$D$69</definedName>
    <definedName name="_331">[4]Лист1!$E$66</definedName>
    <definedName name="_332">[4]Лист1!$F$66</definedName>
    <definedName name="_333">[4]Лист1!$G$66</definedName>
    <definedName name="_334">[4]Лист1!$H$66</definedName>
    <definedName name="_335">[4]Лист1!$I$66</definedName>
    <definedName name="_336">[4]Лист1!$J$66</definedName>
    <definedName name="_337">[4]Лист1!$K$66</definedName>
    <definedName name="_338">[4]Лист1!$L$66</definedName>
    <definedName name="_339">[4]Лист1!$M$66</definedName>
    <definedName name="_34">[4]Лист1!$Y$36</definedName>
    <definedName name="_34__________________________________123Graph_ACHART_4" hidden="1">#REF!</definedName>
    <definedName name="_34_____123Graph_XCHART_3" hidden="1">#REF!</definedName>
    <definedName name="_340">[4]Лист1!$N$66</definedName>
    <definedName name="_341">[4]Лист1!$O$66</definedName>
    <definedName name="_342">[4]Лист1!$P$66</definedName>
    <definedName name="_343">[4]Лист1!$A$67</definedName>
    <definedName name="_344">[4]Лист1!$B$67</definedName>
    <definedName name="_345">[4]Лист1!$C$67</definedName>
    <definedName name="_345345" hidden="1">{"glc1",#N/A,FALSE,"GLC";"glc2",#N/A,FALSE,"GLC";"glc3",#N/A,FALSE,"GLC";"glc4",#N/A,FALSE,"GLC";"glc5",#N/A,FALSE,"GLC"}</definedName>
    <definedName name="_346">[4]Лист1!$D$67</definedName>
    <definedName name="_347">[4]Лист1!$E$67</definedName>
    <definedName name="_348">[4]Лист1!$F$67</definedName>
    <definedName name="_349">[4]Лист1!$G$67</definedName>
    <definedName name="_35">[4]Лист1!$Y$37</definedName>
    <definedName name="_35__________________________________123Graph_XCHART_3" hidden="1">#REF!</definedName>
    <definedName name="_35_____123Graph_XCHART_4" hidden="1">#REF!</definedName>
    <definedName name="_350">[4]Лист1!$H$67</definedName>
    <definedName name="_351">[4]Лист1!$I$67</definedName>
    <definedName name="_352">[4]Лист1!$J$67</definedName>
    <definedName name="_353">[4]Лист1!$K$67</definedName>
    <definedName name="_354">[4]Лист1!$L$67</definedName>
    <definedName name="_355">[4]Лист1!$M$67</definedName>
    <definedName name="_356">[4]Лист1!$N$67</definedName>
    <definedName name="_357">[4]Лист1!$O$67</definedName>
    <definedName name="_358">[4]Лист1!$P$67</definedName>
    <definedName name="_359">[4]Лист1!$A$69</definedName>
    <definedName name="_36">[4]Лист1!$Y$38</definedName>
    <definedName name="_36__________________________________123Graph_XCHART_4" hidden="1">#REF!</definedName>
    <definedName name="_36____123Graph_ACHART_4" hidden="1">#REF!</definedName>
    <definedName name="_360">[4]Отгрузка!#REF!</definedName>
    <definedName name="_361">[4]Отгрузка!#REF!</definedName>
    <definedName name="_362">[4]Отгрузка!#REF!</definedName>
    <definedName name="_363">[4]Лист1!$E$69</definedName>
    <definedName name="_364">[4]Лист1!$F$69</definedName>
    <definedName name="_365">[4]Лист1!$G$69</definedName>
    <definedName name="_366">[4]Лист1!$H$69</definedName>
    <definedName name="_367">[4]Лист1!$I$69</definedName>
    <definedName name="_368">[4]Лист1!$J$69</definedName>
    <definedName name="_369">[4]Лист1!$K$69</definedName>
    <definedName name="_37">[4]Лист1!$Y$39</definedName>
    <definedName name="_37_________________________________123Graph_ACHART_4" hidden="1">#REF!</definedName>
    <definedName name="_37____123Graph_XCHART_3" hidden="1">#REF!</definedName>
    <definedName name="_370">[4]Лист1!$Q$69</definedName>
    <definedName name="_371">[4]Лист1!$R$69</definedName>
    <definedName name="_372">[4]Лист1!$N$69</definedName>
    <definedName name="_373">[4]Отгрузка!#REF!</definedName>
    <definedName name="_374">[4]Отгрузка!#REF!</definedName>
    <definedName name="_375">[4]Отгрузка!#REF!</definedName>
    <definedName name="_376">[4]Отгрузка!#REF!</definedName>
    <definedName name="_377">[4]Отгрузка!#REF!</definedName>
    <definedName name="_378">[4]Отгрузка!#REF!</definedName>
    <definedName name="_379">[4]Отгрузка!#REF!</definedName>
    <definedName name="_38">[4]Лист1!$T$14</definedName>
    <definedName name="_38_________________________________123Graph_XCHART_3" hidden="1">#REF!</definedName>
    <definedName name="_38____123Graph_XCHART_4" hidden="1">#REF!</definedName>
    <definedName name="_380">[4]Отгрузка!#REF!</definedName>
    <definedName name="_381">[4]Отгрузка!#REF!</definedName>
    <definedName name="_382">[4]Отгрузка!#REF!</definedName>
    <definedName name="_383">[4]Отгрузка!#REF!</definedName>
    <definedName name="_384">[4]Отгрузка!#REF!</definedName>
    <definedName name="_385">[4]Отгрузка!#REF!</definedName>
    <definedName name="_386">[4]Отгрузка!#REF!</definedName>
    <definedName name="_387">[4]Отгрузка!#REF!</definedName>
    <definedName name="_388">[4]Отгрузка!#REF!</definedName>
    <definedName name="_389">[4]Отгрузка!#REF!</definedName>
    <definedName name="_39">[4]Лист1!$U$14</definedName>
    <definedName name="_39_________________________________123Graph_XCHART_4" hidden="1">#REF!</definedName>
    <definedName name="_39___123Graph_ACHART_4" hidden="1">#REF!</definedName>
    <definedName name="_390">[4]Отгрузка!#REF!</definedName>
    <definedName name="_391">[4]Отгрузка!#REF!</definedName>
    <definedName name="_392">[4]Отгрузка!#REF!</definedName>
    <definedName name="_393">[4]Отгрузка!#REF!</definedName>
    <definedName name="_394">[4]Отгрузка!#REF!</definedName>
    <definedName name="_395">[4]Отгрузка!#REF!</definedName>
    <definedName name="_396">[4]Отгрузка!#REF!</definedName>
    <definedName name="_397">[4]Отгрузка!#REF!</definedName>
    <definedName name="_398">[4]Отгрузка!#REF!</definedName>
    <definedName name="_399">[4]Отгрузка!#REF!</definedName>
    <definedName name="_4">[4]Лист1!$Y$6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[15]MAIN!#REF!</definedName>
    <definedName name="_4____123Graph_BЋЎ_а_в­л__Є_ЇЁв" hidden="1">[13]MAIN!#REF!</definedName>
    <definedName name="_4___123Graph_ACHART_4" hidden="1">#REF!</definedName>
    <definedName name="_4__123Graph_ACHART_4" hidden="1">#REF!</definedName>
    <definedName name="_4__123Graph_AЋЎ_а_в­л__Є_ЇЁв" hidden="1">[10]MAIN!#REF!</definedName>
    <definedName name="_4__123Graph_BChart_1A" hidden="1">#REF!</definedName>
    <definedName name="_4__123Graph_XCHART_3" hidden="1">#REF!</definedName>
    <definedName name="_4__123Graph_XCHART_4" hidden="1">#REF!</definedName>
    <definedName name="_40">[4]ЗКР!#REF!</definedName>
    <definedName name="_40________________________________123Graph_ACHART_4" hidden="1">#REF!</definedName>
    <definedName name="_40___123Graph_EЋЎ_а_в­л__Є_ЇЁв" hidden="1">[16]MAIN!#REF!</definedName>
    <definedName name="_40___123Graph_XCHART_3" hidden="1">#REF!</definedName>
    <definedName name="_400">[4]Отгрузка!#REF!</definedName>
    <definedName name="_401">[4]Отгрузка!#REF!</definedName>
    <definedName name="_402">[4]Отгрузка!#REF!</definedName>
    <definedName name="_403">[4]Отгрузка!#REF!</definedName>
    <definedName name="_404">[4]Отгрузка!#REF!</definedName>
    <definedName name="_405">[4]Отгрузка!#REF!</definedName>
    <definedName name="_406">[4]Отгрузка!#REF!</definedName>
    <definedName name="_407">[4]Отгрузка!#REF!</definedName>
    <definedName name="_408">[4]Отгрузка!#REF!</definedName>
    <definedName name="_409">[4]Отгрузка!#REF!</definedName>
    <definedName name="_41">[4]Лист1!$V$14</definedName>
    <definedName name="_41________________________________123Graph_XCHART_3" hidden="1">#REF!</definedName>
    <definedName name="_41___123Graph_XCHART_4" hidden="1">#REF!</definedName>
    <definedName name="_410">[4]Отгрузка!#REF!</definedName>
    <definedName name="_411">[4]Отгрузка!#REF!</definedName>
    <definedName name="_412">[4]Отгрузка!#REF!</definedName>
    <definedName name="_413">[4]Отгрузка!#REF!</definedName>
    <definedName name="_414">[4]Отгрузка!#REF!</definedName>
    <definedName name="_415">[4]Отгрузка!#REF!</definedName>
    <definedName name="_416">[4]Отгрузка!#REF!</definedName>
    <definedName name="_417">[4]Отгрузка!#REF!</definedName>
    <definedName name="_418">[4]Отгрузка!#REF!</definedName>
    <definedName name="_419">[4]Отгрузка!#REF!</definedName>
    <definedName name="_42">[4]Лист1!$W$14</definedName>
    <definedName name="_42________________________________123Graph_XCHART_4" hidden="1">#REF!</definedName>
    <definedName name="_42__123Graph_ACHART_4" hidden="1">#REF!</definedName>
    <definedName name="_420">[4]Отгрузка!#REF!</definedName>
    <definedName name="_421">[4]Отгрузка!#REF!</definedName>
    <definedName name="_422">[4]Отгрузка!#REF!</definedName>
    <definedName name="_423">[4]Лист1!$A$71</definedName>
    <definedName name="_424">[4]Лист1!$B$71</definedName>
    <definedName name="_425">[4]Лист1!$C$71</definedName>
    <definedName name="_426">[4]Лист1!$D$71</definedName>
    <definedName name="_427">[4]Лист1!$E$71</definedName>
    <definedName name="_428">[4]Лист1!$F$71</definedName>
    <definedName name="_429">[4]Лист1!$G$71</definedName>
    <definedName name="_43">[4]Лист1!$AF$14</definedName>
    <definedName name="_43_______________________________123Graph_ACHART_4" hidden="1">#REF!</definedName>
    <definedName name="_43__123Graph_XCHART_3" hidden="1">#REF!</definedName>
    <definedName name="_430">[4]Лист1!$H$71</definedName>
    <definedName name="_431">[4]Лист1!$I$71</definedName>
    <definedName name="_432">[4]Лист1!$J$71</definedName>
    <definedName name="_433">[4]Лист1!$K$71</definedName>
    <definedName name="_434">[4]Лист1!$L$71</definedName>
    <definedName name="_435">[4]Лист1!$M$71</definedName>
    <definedName name="_436">[4]Лист1!$N$71</definedName>
    <definedName name="_437">[4]Лист1!$O$71</definedName>
    <definedName name="_438">[4]Лист1!$P$71</definedName>
    <definedName name="_439">[4]Лист1!$A$79</definedName>
    <definedName name="_44">[4]Лист1!$AG$14</definedName>
    <definedName name="_44_______________________________123Graph_XCHART_3" hidden="1">#REF!</definedName>
    <definedName name="_44___123Graph_XђҐ­в_ЎҐ_м­_бвм" hidden="1">[16]MAIN!#REF!</definedName>
    <definedName name="_44__123Graph_XCHART_4" hidden="1">#REF!</definedName>
    <definedName name="_440">[4]Лист1!$B$79</definedName>
    <definedName name="_441">[4]Лист1!$C$79</definedName>
    <definedName name="_442">[4]Лист1!$D$79</definedName>
    <definedName name="_443">[4]Лист1!$E$79</definedName>
    <definedName name="_444">[4]Лист1!$F$79</definedName>
    <definedName name="_446">[4]Лист1!$H$79</definedName>
    <definedName name="_447">[4]Отгрузка!$I$80</definedName>
    <definedName name="_448">[4]Лист1!$J$79</definedName>
    <definedName name="_449">[4]Лист1!$K$79</definedName>
    <definedName name="_45">[4]Лист1!$AH$14</definedName>
    <definedName name="_45_______________________________123Graph_XCHART_4" hidden="1">#REF!</definedName>
    <definedName name="_450">[4]Лист1!$L$79</definedName>
    <definedName name="_451">[4]Лист1!$M$79</definedName>
    <definedName name="_452">[4]Лист1!$N$79</definedName>
    <definedName name="_453">[4]Лист1!$O$79</definedName>
    <definedName name="_454">[4]Лист1!$P$79</definedName>
    <definedName name="_455">[4]Лист1!$A$7</definedName>
    <definedName name="_456">[4]Лист1!$C$7</definedName>
    <definedName name="_457">[4]Лист1!$D$7</definedName>
    <definedName name="_458">[4]Лист1!$E$7</definedName>
    <definedName name="_459">[4]Лист1!$M$7</definedName>
    <definedName name="_46">[4]ЗКР!#REF!</definedName>
    <definedName name="_46______________________________123Graph_ACHART_4" hidden="1">#REF!</definedName>
    <definedName name="_46___123Graph_XЋЎ_а_з.__Єв._1" hidden="1">[16]MAIN!#REF!</definedName>
    <definedName name="_460">[4]Лист1!$L$7</definedName>
    <definedName name="_461">[4]ЗКР!#REF!</definedName>
    <definedName name="_462">[4]Лист1!$N$7</definedName>
    <definedName name="_463">[4]Лист1!$O$7</definedName>
    <definedName name="_464">[4]Лист1!$Q$7</definedName>
    <definedName name="_465">[4]Лист1!$R$7</definedName>
    <definedName name="_466">[4]Лист1!$S$7</definedName>
    <definedName name="_467">[4]Лист1!$T$7</definedName>
    <definedName name="_468">[4]Лист1!$U$7</definedName>
    <definedName name="_469">[4]ЗКР!#REF!</definedName>
    <definedName name="_47">[4]ЗКР!#REF!</definedName>
    <definedName name="_47______________________________123Graph_XCHART_3" hidden="1">#REF!</definedName>
    <definedName name="_470">[4]Лист1!$V$7</definedName>
    <definedName name="_471">[4]Лист1!$W$7</definedName>
    <definedName name="_472">[4]Лист1!$AF$7</definedName>
    <definedName name="_473">[4]Лист1!$AG$7</definedName>
    <definedName name="_474">[4]Лист1!$AH$7</definedName>
    <definedName name="_475">[4]ЗКР!#REF!</definedName>
    <definedName name="_476">[4]ЗКР!#REF!</definedName>
    <definedName name="_477">[4]ЗКР!#REF!</definedName>
    <definedName name="_478">[4]ЗКР!#REF!</definedName>
    <definedName name="_479">[4]ЗКР!#REF!</definedName>
    <definedName name="_48">[4]ЗКР!#REF!</definedName>
    <definedName name="_48______________________________123Graph_XCHART_4" hidden="1">#REF!</definedName>
    <definedName name="_48___123Graph_XЋЎ_а_в­л__Є_ЇЁв" hidden="1">[16]MAIN!#REF!</definedName>
    <definedName name="_480">[4]Лист1!$A$8</definedName>
    <definedName name="_481">[4]Лист1!$C$8</definedName>
    <definedName name="_482">[4]Лист1!$D$8</definedName>
    <definedName name="_483">[4]Лист1!$E$8</definedName>
    <definedName name="_484">[4]Лист1!$K$8</definedName>
    <definedName name="_485">[4]Лист1!$L$8</definedName>
    <definedName name="_486">[4]Лист1!$M$8</definedName>
    <definedName name="_487">[4]Лист1!$N$8</definedName>
    <definedName name="_488">[4]Лист1!$O$8</definedName>
    <definedName name="_489">[4]Лист1!$Q$8</definedName>
    <definedName name="_49">[4]ЗКР!#REF!</definedName>
    <definedName name="_49_____________________________123Graph_ACHART_4" hidden="1">#REF!</definedName>
    <definedName name="_490">[4]Лист1!$R$8</definedName>
    <definedName name="_491">[4]Лист1!$S$8</definedName>
    <definedName name="_492">[4]Лист1!$T$8</definedName>
    <definedName name="_493">[4]Лист1!$U$8</definedName>
    <definedName name="_494">[4]ЗКР!#REF!</definedName>
    <definedName name="_495">[4]Лист1!$V$8</definedName>
    <definedName name="_496">[4]Лист1!$W$8</definedName>
    <definedName name="_497">[4]Лист1!$AF$8</definedName>
    <definedName name="_498">[4]Лист1!$AG$8</definedName>
    <definedName name="_499">[4]Лист1!$AH$8</definedName>
    <definedName name="_4aaa" hidden="1">{#N/A,#N/A,FALSE,"Aging Summary";#N/A,#N/A,FALSE,"Ratio Analysis";#N/A,#N/A,FALSE,"Test 120 Day Accts";#N/A,#N/A,FALSE,"Tickmarks"}</definedName>
    <definedName name="_5">[4]Лист1!$Y$7</definedName>
    <definedName name="_5_____________________________________________123Graph_XCHART_4" hidden="1">#REF!</definedName>
    <definedName name="_5_______________123Graph_XCHART_4" hidden="1">#REF!</definedName>
    <definedName name="_5___123Graph_XCHART_3" hidden="1">#REF!</definedName>
    <definedName name="_5__123Graph_XCHART_3" hidden="1">#REF!</definedName>
    <definedName name="_5__123Graph_XCHART_4" hidden="1">#REF!</definedName>
    <definedName name="_50">[4]ЗКР!#REF!</definedName>
    <definedName name="_50_____________________________123Graph_XCHART_3" hidden="1">#REF!</definedName>
    <definedName name="_500">[4]ЗКР!#REF!</definedName>
    <definedName name="_501">[4]ЗКР!#REF!</definedName>
    <definedName name="_502">[4]ЗКР!#REF!</definedName>
    <definedName name="_503">[4]ЗКР!#REF!</definedName>
    <definedName name="_504">[4]ЗКР!#REF!</definedName>
    <definedName name="_505">[4]Лист1!$A$9</definedName>
    <definedName name="_506">[4]Лист1!$C$9</definedName>
    <definedName name="_507">[4]Лист1!$D$9</definedName>
    <definedName name="_508">[4]Лист1!$E$9</definedName>
    <definedName name="_509">[4]Лист1!$K$9</definedName>
    <definedName name="_51">[4]Лист1!$A$23</definedName>
    <definedName name="_51_____________________________123Graph_XCHART_4" hidden="1">#REF!</definedName>
    <definedName name="_510">[4]Лист1!$L$9</definedName>
    <definedName name="_511">[4]Лист1!$M$9</definedName>
    <definedName name="_512">[4]Лист1!$N$9</definedName>
    <definedName name="_513">[4]Лист1!$O$9</definedName>
    <definedName name="_514">[4]Лист1!$Q$9</definedName>
    <definedName name="_515">[4]Лист1!$R$9</definedName>
    <definedName name="_516">[4]Лист1!$S$9</definedName>
    <definedName name="_517">[4]Лист1!$T$9</definedName>
    <definedName name="_518">[4]Лист1!$U$9</definedName>
    <definedName name="_519">[4]ЗКР!#REF!</definedName>
    <definedName name="_52">[4]Лист1!$C$23</definedName>
    <definedName name="_52____________________________123Graph_ACHART_4" hidden="1">#REF!</definedName>
    <definedName name="_520">[4]Лист1!$V$9</definedName>
    <definedName name="_521">[4]Лист1!$W$9</definedName>
    <definedName name="_522">[4]Лист1!$AF$9</definedName>
    <definedName name="_523">[4]Лист1!$AG$9</definedName>
    <definedName name="_524">[4]Лист1!$AH$9</definedName>
    <definedName name="_525">[4]ЗКР!#REF!</definedName>
    <definedName name="_526">[4]ЗКР!#REF!</definedName>
    <definedName name="_527">[4]ЗКР!#REF!</definedName>
    <definedName name="_528">[4]ЗКР!#REF!</definedName>
    <definedName name="_529">[4]ЗКР!#REF!</definedName>
    <definedName name="_53">[4]Лист1!$D$23</definedName>
    <definedName name="_53____________________________123Graph_XCHART_3" hidden="1">#REF!</definedName>
    <definedName name="_54">[4]Лист1!$E$23</definedName>
    <definedName name="_54____________________________123Graph_XCHART_4" hidden="1">#REF!</definedName>
    <definedName name="_54__123Graph_AЋЎ_а_в­л__Є_ЇЁв" hidden="1">[17]MAIN!#REF!</definedName>
    <definedName name="_55">[4]Лист1!$K$23</definedName>
    <definedName name="_55___________________________123Graph_ACHART_4" hidden="1">#REF!</definedName>
    <definedName name="_56">[4]Лист1!$L$23</definedName>
    <definedName name="_56___________________________123Graph_XCHART_3" hidden="1">#REF!</definedName>
    <definedName name="_57">[4]Лист1!$M$23</definedName>
    <definedName name="_57___________________________123Graph_XCHART_4" hidden="1">#REF!</definedName>
    <definedName name="_58">[4]Лист1!$N$23</definedName>
    <definedName name="_58__________________________123Graph_ACHART_4" hidden="1">#REF!</definedName>
    <definedName name="_59">[4]Лист1!$O$23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">[4]Лист1!$Y$8</definedName>
    <definedName name="_6____________________________________________123Graph_XCHART_4" hidden="1">#REF!</definedName>
    <definedName name="_6______________123Graph_ACHART_4" hidden="1">#REF!</definedName>
    <definedName name="_6___123Graph_XCHART_4" hidden="1">#REF!</definedName>
    <definedName name="_6__123Graph_XCHART_4" hidden="1">#REF!</definedName>
    <definedName name="_60">[4]Лист1!$Q$23</definedName>
    <definedName name="_60__________________________123Graph_XCHART_4" hidden="1">#REF!</definedName>
    <definedName name="_60__123Graph_BЋЎ_а_в­л__Є_ЇЁв" hidden="1">[17]MAIN!#REF!</definedName>
    <definedName name="_61">[4]Лист1!$R$23</definedName>
    <definedName name="_61_________________________123Graph_ACHART_4" hidden="1">#REF!</definedName>
    <definedName name="_62">[4]Лист1!$Y$64</definedName>
    <definedName name="_62_________________________123Graph_XCHART_3" hidden="1">#REF!</definedName>
    <definedName name="_63">[4]Лист1!$T$23</definedName>
    <definedName name="_63_________________________123Graph_XCHART_4" hidden="1">#REF!</definedName>
    <definedName name="_64">[4]ЗКР!$U$23</definedName>
    <definedName name="_64________________________123Graph_ACHART_4" hidden="1">#REF!</definedName>
    <definedName name="_65">[4]ЗКР!#REF!</definedName>
    <definedName name="_65________________________123Graph_XCHART_3" hidden="1">#REF!</definedName>
    <definedName name="_66">[4]Лист1!$V$23</definedName>
    <definedName name="_66________________________123Graph_XCHART_4" hidden="1">#REF!</definedName>
    <definedName name="_67">[4]Лист1!$W$23</definedName>
    <definedName name="_67_______________________123Graph_ACHART_4" hidden="1">#REF!</definedName>
    <definedName name="_68">[4]Лист1!$AF$23</definedName>
    <definedName name="_68_______________________123Graph_XCHART_3" hidden="1">#REF!</definedName>
    <definedName name="_69">[4]Лист1!$AG$23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">[4]Лист1!$Y$9</definedName>
    <definedName name="_7___________________________________________123Graph_ACHART_4" hidden="1">#REF!</definedName>
    <definedName name="_7______________123Graph_XCHART_3" hidden="1">#REF!</definedName>
    <definedName name="_7__123Graph_ACHART_4" hidden="1">#REF!</definedName>
    <definedName name="_70">[4]Лист1!$AH$23</definedName>
    <definedName name="_70______________________123Graph_ACHART_4" hidden="1">#REF!</definedName>
    <definedName name="_71">[4]ЗКР!#REF!</definedName>
    <definedName name="_71______________________123Graph_XCHART_3" hidden="1">#REF!</definedName>
    <definedName name="_72">[4]ЗКР!#REF!</definedName>
    <definedName name="_72______________________123Graph_XCHART_4" hidden="1">#REF!</definedName>
    <definedName name="_72__123Graph_EЋЎ_а_в­л__Є_ЇЁв" hidden="1">[17]MAIN!#REF!</definedName>
    <definedName name="_73">[4]ЗКР!#REF!</definedName>
    <definedName name="_73_____________________123Graph_ACHART_4" hidden="1">#REF!</definedName>
    <definedName name="_74">[4]ЗКР!#REF!</definedName>
    <definedName name="_74_____________________123Graph_XCHART_3" hidden="1">#REF!</definedName>
    <definedName name="_75">[4]ЗКР!#REF!</definedName>
    <definedName name="_75_____________________123Graph_XCHART_4" hidden="1">#REF!</definedName>
    <definedName name="_76">[4]Лист1!$A$49</definedName>
    <definedName name="_76____________________123Graph_ACHART_4" hidden="1">#REF!</definedName>
    <definedName name="_77">[4]Лист1!$C$49</definedName>
    <definedName name="_77____________________123Graph_XCHART_3" hidden="1">#REF!</definedName>
    <definedName name="_78">[4]Лист1!$D$49</definedName>
    <definedName name="_78____________________123Graph_XCHART_4" hidden="1">#REF!</definedName>
    <definedName name="_78__123Graph_XђҐ­в_ЎҐ_м­_бвм" hidden="1">[17]MAIN!#REF!</definedName>
    <definedName name="_79">[4]Лист1!$E$49</definedName>
    <definedName name="_79___________________123Graph_ACHART_4" hidden="1">#REF!</definedName>
    <definedName name="_8">[4]Лист1!$Y$10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[15]MAIN!#REF!</definedName>
    <definedName name="_8____123Graph_EЋЎ_а_в­л__Є_ЇЁв" hidden="1">[13]MAIN!#REF!</definedName>
    <definedName name="_8__123Graph_BЋЎ_а_в­л__Є_ЇЁв" hidden="1">[10]MAIN!#REF!</definedName>
    <definedName name="_8__123Graph_XCHART_3" hidden="1">#REF!</definedName>
    <definedName name="_80">[4]Лист1!$K$49</definedName>
    <definedName name="_80___________________123Graph_XCHART_3" hidden="1">#REF!</definedName>
    <definedName name="_81">[4]Лист1!$L$49</definedName>
    <definedName name="_81___________________123Graph_XCHART_4" hidden="1">#REF!</definedName>
    <definedName name="_81__123Graph_XЋЎ_а_з.__Єв._1" hidden="1">[17]MAIN!#REF!</definedName>
    <definedName name="_82">[4]Лист1!$M$49</definedName>
    <definedName name="_82__________________123Graph_ACHART_4" hidden="1">#REF!</definedName>
    <definedName name="_83">[4]Лист1!$N$49</definedName>
    <definedName name="_83__________________123Graph_XCHART_3" hidden="1">#REF!</definedName>
    <definedName name="_84">[4]Лист1!$O$49</definedName>
    <definedName name="_84__________________123Graph_XCHART_4" hidden="1">#REF!</definedName>
    <definedName name="_84__123Graph_XЋЎ_а_в­л__Є_ЇЁв" hidden="1">[17]MAIN!#REF!</definedName>
    <definedName name="_85">[4]Лист1!$Q$49</definedName>
    <definedName name="_85_________________123Graph_ACHART_4" hidden="1">#REF!</definedName>
    <definedName name="_86">[4]Лист1!$Y$88</definedName>
    <definedName name="_86_________________123Graph_XCHART_3" hidden="1">#REF!</definedName>
    <definedName name="_87">[4]Лист1!$Y$89</definedName>
    <definedName name="_87_________________123Graph_XCHART_4" hidden="1">#REF!</definedName>
    <definedName name="_88">[4]Лист1!$T$49</definedName>
    <definedName name="_88________________123Graph_ACHART_4" hidden="1">#REF!</definedName>
    <definedName name="_89">[4]ЗКР!$U$50</definedName>
    <definedName name="_89________________123Graph_XCHART_3" hidden="1">#REF!</definedName>
    <definedName name="_9">[4]Лист1!$Y$11</definedName>
    <definedName name="_9___________________________________________123Graph_XCHART_4" hidden="1">#REF!</definedName>
    <definedName name="_9_____________123Graph_ACHART_4" hidden="1">#REF!</definedName>
    <definedName name="_9__123Graph_XCHART_4" hidden="1">#REF!</definedName>
    <definedName name="_90">[4]ЗКР!#REF!</definedName>
    <definedName name="_90________________123Graph_XCHART_4" hidden="1">#REF!</definedName>
    <definedName name="_91">[4]Лист1!$V$49</definedName>
    <definedName name="_91_______________123Graph_ACHART_4" hidden="1">#REF!</definedName>
    <definedName name="_92">[4]Лист1!$W$49</definedName>
    <definedName name="_92_______________123Graph_XCHART_3" hidden="1">#REF!</definedName>
    <definedName name="_93">[4]Лист1!$AF$49</definedName>
    <definedName name="_93_______________123Graph_XCHART_4" hidden="1">#REF!</definedName>
    <definedName name="_94">[4]Лист1!$AG$49</definedName>
    <definedName name="_94______________123Graph_ACHART_4" hidden="1">#REF!</definedName>
    <definedName name="_95">[4]Лист1!$AH$49</definedName>
    <definedName name="_95______________123Graph_XCHART_3" hidden="1">#REF!</definedName>
    <definedName name="_96">[4]ЗКР!#REF!</definedName>
    <definedName name="_96______________123Graph_XCHART_4" hidden="1">#REF!</definedName>
    <definedName name="_97">[4]ЗКР!#REF!</definedName>
    <definedName name="_97_____________123Graph_ACHART_4" hidden="1">#REF!</definedName>
    <definedName name="_98">[4]ЗКР!#REF!</definedName>
    <definedName name="_98_____________123Graph_XCHART_3" hidden="1">#REF!</definedName>
    <definedName name="_99">[4]ЗКР!#REF!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at_CPB">#REF!</definedName>
    <definedName name="_bcat_MNB">#REF!</definedName>
    <definedName name="_bcat_OFZ">#REF!</definedName>
    <definedName name="_bcat_OVGVZ">#REF!</definedName>
    <definedName name="_BKAT">#REF!</definedName>
    <definedName name="_btot_count">#REF!</definedName>
    <definedName name="_btot_CPB">#REF!</definedName>
    <definedName name="_btot_MNB">#REF!</definedName>
    <definedName name="_btot_OFZ">#REF!</definedName>
    <definedName name="_btot_OVGVZ">#REF!</definedName>
    <definedName name="_c" hidden="1">{"ÜBERSICHT",#N/A,FALSE,"ABW KUM";"Kostenzoom",#N/A,FALSE,"ABW KUM";"ÜBERSICHT",#N/A,FALSE,"ABW HORE";"Kostenzoom",#N/A,FALSE,"ABW HORE"}</definedName>
    <definedName name="_cat_A">#REF!</definedName>
    <definedName name="_cat_AA">#REF!</definedName>
    <definedName name="_cat_AAA">#REF!</definedName>
    <definedName name="_cat_B">#REF!</definedName>
    <definedName name="_cat_BB">#REF!</definedName>
    <definedName name="_cat_BBB">#REF!</definedName>
    <definedName name="_cat_C">#REF!</definedName>
    <definedName name="_cat_CC">#REF!</definedName>
    <definedName name="_cat_CCC">#REF!</definedName>
    <definedName name="_cat_D">#REF!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hkf8" hidden="1">{"glc1",#N/A,FALSE,"GLC";"glc2",#N/A,FALSE,"GLC";"glc3",#N/A,FALSE,"GLC";"glc4",#N/A,FALSE,"GLC";"glc5",#N/A,FALSE,"GLC"}</definedName>
    <definedName name="_j1">#REF!</definedName>
    <definedName name="_Key1" hidden="1">'[18]Natl Consult Reg.'!#REF!</definedName>
    <definedName name="_Key2" hidden="1">'[18]Natl Consult Reg.'!#REF!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R1">#REF!</definedName>
    <definedName name="_PR1204">#REF!</definedName>
    <definedName name="_PR2">#REF!</definedName>
    <definedName name="_PR3">#REF!</definedName>
    <definedName name="_PR4">#REF!</definedName>
    <definedName name="_PR5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1">#REF!</definedName>
    <definedName name="_RR1">#REF!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U99">[5]ЗАО_н.ит!#REF!</definedName>
    <definedName name="_Sort" hidden="1">#REF!</definedName>
    <definedName name="_sort1" hidden="1">[19]опт!$A$8:$C$98</definedName>
    <definedName name="_sort5" hidden="1">[19]опт!$A$8:$C$98</definedName>
    <definedName name="_SQ1">[2]Исход.инф.!$B$7</definedName>
    <definedName name="_SQ2">[2]Исход.инф.!$B$8</definedName>
    <definedName name="_SQ3">[2]Исход.инф.!$B$9</definedName>
    <definedName name="_SQ4">[2]Исход.инф.!$B$10</definedName>
    <definedName name="_sum_Rate">[20]SUMMARY_DATA!$B$2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_A">#REF!</definedName>
    <definedName name="_tot_AA">#REF!</definedName>
    <definedName name="_tot_AAA">#REF!</definedName>
    <definedName name="_tot_B">#REF!</definedName>
    <definedName name="_tot_BB">#REF!</definedName>
    <definedName name="_tot_BBB">#REF!</definedName>
    <definedName name="_tot_C">#REF!</definedName>
    <definedName name="_tot_CC">#REF!</definedName>
    <definedName name="_tot_CCC">#REF!</definedName>
    <definedName name="_tot_Count">#REF!</definedName>
    <definedName name="_tot_D">#REF!</definedName>
    <definedName name="_USD99">[5]ЗАО_н.ит!#REF!</definedName>
    <definedName name="_uu1" hidden="1">{#N/A,#N/A,TRUE,"Engineering Dept";#N/A,#N/A,TRUE,"Sales Dept";#N/A,#N/A,TRUE,"Marketing Dept";#N/A,#N/A,TRUE,"Admin Dept"}</definedName>
    <definedName name="_W10">#REF!</definedName>
    <definedName name="_w149">#REF!</definedName>
    <definedName name="_wrn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авав">[4]Лист1!$E$44</definedName>
    <definedName name="_д">[5]ЗАО_н.ит!#REF!</definedName>
    <definedName name="_картмя">#REF!</definedName>
    <definedName name="_крнер">#REF!</definedName>
    <definedName name="_xlnm._FilterDatabase" hidden="1">#REF!</definedName>
    <definedName name="a" hidden="1">{#N/A,#N/A,FALSE,"Aging Summary";#N/A,#N/A,FALSE,"Ratio Analysis";#N/A,#N/A,FALSE,"Test 120 Day Accts";#N/A,#N/A,FALSE,"Tickmarks"}</definedName>
    <definedName name="A_44">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1" hidden="1">{#VALUE!,#N/A,TRUE,0}</definedName>
    <definedName name="aaaa2" hidden="1">{#N/A,#N/A,TRUE,"Буржуям"}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count_from">#REF!</definedName>
    <definedName name="Account_To">#REF!</definedName>
    <definedName name="ACCOUNTANT_FIO">#REF!</definedName>
    <definedName name="ACCR">#REF!,#REF!,#REF!,#REF!,#REF!,#REF!,#REF!,#REF!,#REF!,#REF!,#REF!,#REF!,#REF!,#REF!,#REF!,#REF!</definedName>
    <definedName name="ADD._LZ_7819A_им_">#REF!</definedName>
    <definedName name="ADDRESS">#REF!</definedName>
    <definedName name="Admin_exp">[139]Sensitivity!$S$17</definedName>
    <definedName name="adssa">#REF!</definedName>
    <definedName name="Aircool">[4]Лист1!#REF!</definedName>
    <definedName name="ajajajj" hidden="1">{"glc1",#N/A,FALSE,"GLC";"glc2",#N/A,FALSE,"GLC";"glc3",#N/A,FALSE,"GLC";"glc4",#N/A,FALSE,"GLC";"glc5",#N/A,FALSE,"GLC"}</definedName>
    <definedName name="ANAL_SHARE_1">#REF!</definedName>
    <definedName name="ANAL_SHARE_2">#REF!</definedName>
    <definedName name="ANALYSIS_DNCF">#REF!</definedName>
    <definedName name="ANALYSIS_NCF">#REF!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E">[63]Баланс95!#REF!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fas" hidden="1">{"Table A,pg 1",#N/A,FALSE,"Table A-Prov GUR";"Table A,pg 2",#N/A,FALSE,"Table A-Prov GUR"}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fd" hidden="1">{"ÜBER mit FW","THU",FALSE,"HORE KORR!";"ÜBERSICHT",#N/A,FALSE,"BUDGET 1997_98";"ÜBER mit FW",#N/A,FALSE,"IST KUM KORR!!";"ÜBERSICHT",#N/A,FALSE,"PLAN KUM"}</definedName>
    <definedName name="asfsf">#REF!</definedName>
    <definedName name="ass" hidden="1">{"ÜBERSICHT",#N/A,FALSE,"ABW KUM";"Kostenzoom",#N/A,FALSE,"ABW KUM";"ÜBERSICHT",#N/A,FALSE,"ABW HORE";"Kostenzoom",#N/A,FALSE,"ABW HORE"}</definedName>
    <definedName name="ASS_COUNT_1">[140]Расчеты!$B$15</definedName>
    <definedName name="ASS_COUNT_2">[140]Расчеты!$B$16</definedName>
    <definedName name="ASS_COUNT_3">[140]Расчеты!$B$17</definedName>
    <definedName name="ASS_COUNT_4">[140]Расчеты!$B$18</definedName>
    <definedName name="ASS_COUNT_5">[140]Расчеты!$B$19</definedName>
    <definedName name="ASSETS_TAX">#REF!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.ym10" hidden="1">{#N/A,#N/A,TRUE,"Буржуям"}</definedName>
    <definedName name="BadLink" hidden="1">#REF!</definedName>
    <definedName name="BankPart">#REF!</definedName>
    <definedName name="Banks">[141]Library!$A$2:$A$224</definedName>
    <definedName name="Basa_cena">#REF!</definedName>
    <definedName name="BasePriceFall">#REF!</definedName>
    <definedName name="Baza_cena">#REF!</definedName>
    <definedName name="bb" hidden="1">{#N/A,#N/A,FALSE,"Aging Summary";#N/A,#N/A,FALSE,"Ratio Analysis";#N/A,#N/A,FALSE,"Test 120 Day Accts";#N/A,#N/A,FALSE,"Tickmarks"}</definedName>
    <definedName name="bb480_1__2__">'[142]Лист 2,0201,1010,0'!#REF!</definedName>
    <definedName name="bbb" hidden="1">{#N/A,#N/A,FALSE,"Aging Summary";#N/A,#N/A,FALSE,"Ratio Analysis";#N/A,#N/A,FALSE,"Test 120 Day Accts";#N/A,#N/A,FALSE,"Tickmarks"}</definedName>
    <definedName name="beginyear">'[143]05-09 января 2004'!$H$10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[144]Balance_sheet!#REF!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[144]Balance_sheet!#REF!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[144]Balance_sheet!#REF!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[144]Balance_sheet!#REF!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[144]Balance_sheet!#REF!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[144]Balance_sheet!#REF!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I">[63]Баланс95!#REF!</definedName>
    <definedName name="Bld">[145]Parametrs!$B$4:$V$4</definedName>
    <definedName name="bloomberg" hidden="1">{"glc1",#N/A,FALSE,"GLC";"glc2",#N/A,FALSE,"GLC";"glc3",#N/A,FALSE,"GLC";"glc4",#N/A,FALSE,"GLC";"glc5",#N/A,FALSE,"GLC"}</definedName>
    <definedName name="BLPH1" hidden="1">'[133]Read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'[133]Read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BR">[63]Баланс95!#REF!</definedName>
    <definedName name="Button_67">"X2001_PROJECT_N_1_DailySch_List"</definedName>
    <definedName name="BV">[63]Баланс95!#REF!</definedName>
    <definedName name="bvgb" hidden="1">{#N/A,#N/A,TRUE,"Буржуям"}</definedName>
    <definedName name="BVV">'[146]график платежей'!$I$9</definedName>
    <definedName name="c_" hidden="1">{0,0,0,TRUE;0,0,0,0;0,0,0,0;0,0,0,0}</definedName>
    <definedName name="c_bfck">[4]Лист1!$M$12</definedName>
    <definedName name="c_cv">[4]Лист1!$M$13</definedName>
    <definedName name="c_туш">[4]Лист1!$M$14</definedName>
    <definedName name="CA">[63]Баланс95!#REF!</definedName>
    <definedName name="CALC_SHARES">[140]Расчеты!#REF!</definedName>
    <definedName name="capex_depr" hidden="1">{"'domaće količine'!$K$34:$P$47"}</definedName>
    <definedName name="CAPEX_ROW">#REF!</definedName>
    <definedName name="carlos" hidden="1">{#N/A,"10% Success",FALSE,"Sales Forecast";#N/A,#N/A,FALSE,"Sheet2"}</definedName>
    <definedName name="CASH">[63]Баланс95!#REF!</definedName>
    <definedName name="CASH_DEFICIT">[140]Расчеты!$B$43</definedName>
    <definedName name="CashFlows">[147]Reference!$G$20:$G$24</definedName>
    <definedName name="CBWorkbookPriority" hidden="1">-189164748</definedName>
    <definedName name="cc_сах_Б">[4]Лист1!$AT$2</definedName>
    <definedName name="ccc" hidden="1">{"Area1",#N/A,FALSE,"OREWACC";"Area2",#N/A,FALSE,"OREWACC"}</definedName>
    <definedName name="CD">[63]Баланс95!#REF!</definedName>
    <definedName name="Cedis">[148]KEY!#REF!</definedName>
    <definedName name="CelCodePrim" hidden="1">[149]Plan!#REF!</definedName>
    <definedName name="CelCodeSec" hidden="1">[149]Plan!#REF!</definedName>
    <definedName name="CelCritPrim" hidden="1">[149]Plan!#REF!</definedName>
    <definedName name="CelCritSec" hidden="1">[149]Plan!#REF!</definedName>
    <definedName name="Cena">#REF!</definedName>
    <definedName name="CF_7_ktn" hidden="1">{"Output-All",#N/A,FALSE,"Output"}</definedName>
    <definedName name="cf2_" hidden="1">{0,0,0,0}</definedName>
    <definedName name="CGS">[63]Баланс95!#REF!</definedName>
    <definedName name="CHIEF_FIO">#REF!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[149]Plan!#REF!</definedName>
    <definedName name="codelib1" hidden="1">[149]Plan!#REF!</definedName>
    <definedName name="Coeff2">[150]SENSITIVITY!$C$12</definedName>
    <definedName name="Coeff3">[150]SENSITIVITY!$C$14</definedName>
    <definedName name="Coeff4">[150]SENSITIVITY!$C$16</definedName>
    <definedName name="CoLibMaj" hidden="1">[149]Plan!#REF!</definedName>
    <definedName name="CoLibMineur" hidden="1">[149]Plan!#REF!</definedName>
    <definedName name="Collaterals">[141]Library!$D$2:$D$6</definedName>
    <definedName name="comp">[151]Титул!$B$6</definedName>
    <definedName name="COMPARE" hidden="1">{"Table A,pg 1",#N/A,FALSE,"Table A-Prov GUR";"Table A,pg 2",#N/A,FALSE,"Table A-Prov GUR"}</definedName>
    <definedName name="constr">#REF!</definedName>
    <definedName name="constr_cost">#REF!</definedName>
    <definedName name="constr_psm">#REF!</definedName>
    <definedName name="consultancy">#REF!</definedName>
    <definedName name="COST_A">#REF!</definedName>
    <definedName name="Cost_of_Sales">[139]Sensitivity!$S$5</definedName>
    <definedName name="Covenants">[147]Reference!$G$6:$G$7</definedName>
    <definedName name="Cr_Amount">#REF!</definedName>
    <definedName name="Cr_Amount1">[152]Данные!$D$19</definedName>
    <definedName name="CREDIT_FRA">[140]Расчеты!$C$34</definedName>
    <definedName name="CREDIT_INT">[140]Расчеты!$B$34</definedName>
    <definedName name="CREDIT_PERIOD">#REF!</definedName>
    <definedName name="CS">[63]Баланс95!#REF!</definedName>
    <definedName name="CSV">[63]Баланс95!#REF!</definedName>
    <definedName name="cu00.UserArea" hidden="1">[153]cus_HK1033!$B$2:$P$192</definedName>
    <definedName name="CUR">#REF!</definedName>
    <definedName name="CURLANGUAGE">[140]Расчеты!$B$40</definedName>
    <definedName name="Currencies">[141]Library!$C$2:$C$10</definedName>
    <definedName name="currency">[145]Parametrs!$B$8:$G$8</definedName>
    <definedName name="CURRENCY_NAME">[140]Расчеты!$C$55</definedName>
    <definedName name="CURRENCY_RATE">[145]Parametrs!$B$11:$CRF$11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_prosp">[154]F1_SPRAV!$B$4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LLLEASES">#REF!</definedName>
    <definedName name="DATA_ALLLOANS">#REF!</definedName>
    <definedName name="DATA_ASSET_1">#REF!</definedName>
    <definedName name="DATA_ASSET_2">#REF!</definedName>
    <definedName name="DATA_ASSET_3">#REF!</definedName>
    <definedName name="DATA_ASSET_4">#REF!</definedName>
    <definedName name="DATA_ASSET_5">#REF!</definedName>
    <definedName name="DATA_ASSET_END">#REF!</definedName>
    <definedName name="DATA_GE_1_FROM">#REF!</definedName>
    <definedName name="DATA_GE_1_TO">#REF!</definedName>
    <definedName name="DATA_GE_2_FROM">#REF!</definedName>
    <definedName name="DATA_GE_2_TO">#REF!</definedName>
    <definedName name="DATA_GE_3_FROM">#REF!</definedName>
    <definedName name="DATA_GE_3_TO">#REF!</definedName>
    <definedName name="DATA_LEASES">#REF!</definedName>
    <definedName name="DATA_LOANS">#REF!</definedName>
    <definedName name="DATA_LOANSST">#REF!</definedName>
    <definedName name="DATA_PERS_1">#REF!</definedName>
    <definedName name="DATA_PERS_2">#REF!</definedName>
    <definedName name="DATA_PERS_3">#REF!</definedName>
    <definedName name="DATA_SHARES">#REF!</definedName>
    <definedName name="data83">'[155]Balance Sheet'!#REF!</definedName>
    <definedName name="data84">'[155]Balance Sheet'!#REF!</definedName>
    <definedName name="data85">'[155]Balance Sheet'!#REF!</definedName>
    <definedName name="data86">'[155]Balance Sheet'!#REF!</definedName>
    <definedName name="data87">'[155]Balance Sheet'!#REF!</definedName>
    <definedName name="data88">'[155]Balance Sheet'!#REF!</definedName>
    <definedName name="data89">'[155]Balance Sheet'!#REF!</definedName>
    <definedName name="data90">'[155]Balance Sheet'!#REF!</definedName>
    <definedName name="data91">'[155]Balance Sheet'!#REF!</definedName>
    <definedName name="data92">'[155]Balance Sheet'!#REF!</definedName>
    <definedName name="data93">'[155]Balance Sheet'!#REF!</definedName>
    <definedName name="data94">'[155]Balance Sheet'!#REF!</definedName>
    <definedName name="data95">'[155]Balance Sheet'!#REF!</definedName>
    <definedName name="data96">'[155]Balance Sheet'!#REF!</definedName>
    <definedName name="data97">'[155]Balance Sheet'!#REF!</definedName>
    <definedName name="data98">'[155]Balance Sheet'!#REF!</definedName>
    <definedName name="data99">'[155]Balance Sheet'!#REF!</definedName>
    <definedName name="DATAPROD_1">#REF!</definedName>
    <definedName name="DATAPROD_2">#REF!</definedName>
    <definedName name="DATAPROD_3">#REF!</definedName>
    <definedName name="DATAPROD_4">#REF!</definedName>
    <definedName name="DATAPROD_5">#REF!</definedName>
    <definedName name="DATAPROD_6">#REF!</definedName>
    <definedName name="date">'[156]Master Inputs Start Here'!$D$14</definedName>
    <definedName name="Date_From">#REF!</definedName>
    <definedName name="Date_To">#REF!</definedName>
    <definedName name="dbo_GL360100">#REF!</definedName>
    <definedName name="dcfdfsd" hidden="1">#REF!</definedName>
    <definedName name="DCS">[63]Баланс95!#REF!</definedName>
    <definedName name="dd" hidden="1">{"'Grafik Kontrol'!$A$1:$J$8"}</definedName>
    <definedName name="ddd">#REF!</definedName>
    <definedName name="dddd" hidden="1">{#VALUE!,#N/A,TRUE,0}</definedName>
    <definedName name="dddddd" hidden="1">#REF!</definedName>
    <definedName name="ddddddd" hidden="1">#REF!</definedName>
    <definedName name="ddddddddddd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al">'[157]Dropdown list'!$A$2:$A$4</definedName>
    <definedName name="DEBIT_FRA">[140]Расчеты!$C$33</definedName>
    <definedName name="DEBIT_INT">[140]Расчеты!$B$33</definedName>
    <definedName name="DEBIT_PERIOD">#REF!</definedName>
    <definedName name="DEG">#REF!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hjdgj">[0]!dfghjdgj</definedName>
    <definedName name="dfgjghj">[0]!dfgjghj</definedName>
    <definedName name="dfgs" hidden="1">{"glc1",#N/A,FALSE,"GLC";"glc2",#N/A,FALSE,"GLC";"glc3",#N/A,FALSE,"GLC";"glc4",#N/A,FALSE,"GLC";"glc5",#N/A,FALSE,"GLC"}</definedName>
    <definedName name="dfhdgjh">#REF!</definedName>
    <definedName name="dfjg">[0]!dfjg</definedName>
    <definedName name="dfjgyhjdty">[0]!dfjgyhjdty</definedName>
    <definedName name="dfs" hidden="1">#N/A</definedName>
    <definedName name="dfsaq" hidden="1">{"Output-Min",#N/A,FALSE,"Output"}</definedName>
    <definedName name="dfzb" hidden="1">#REF!</definedName>
    <definedName name="dg" hidden="1">{"Area1",#N/A,FALSE,"OREWACC";"Area2",#N/A,FALSE,"OREWACC"}</definedName>
    <definedName name="dgfhdgj">[0]!dgfhdgj</definedName>
    <definedName name="dgfjdgh">[0]!dgfjdgh</definedName>
    <definedName name="dghdgh">[0]!dghdgh</definedName>
    <definedName name="dghjd">[0]!dghjd</definedName>
    <definedName name="dh" hidden="1">{"glc1",#N/A,FALSE,"GLC";"glc2",#N/A,FALSE,"GLC";"glc3",#N/A,FALSE,"GLC";"glc4",#N/A,FALSE,"GLC";"glc5",#N/A,FALSE,"GLC"}</definedName>
    <definedName name="disc1">#REF!</definedName>
    <definedName name="disc2">#REF!</definedName>
    <definedName name="disc3">#REF!</definedName>
    <definedName name="DISCOUT_FOR_PER">[140]Расчеты!$B$26</definedName>
    <definedName name="DIVIDEND_SHARE">#REF!</definedName>
    <definedName name="dividends_net">[148]KEY!#REF!</definedName>
    <definedName name="djghj">[0]!djghj</definedName>
    <definedName name="djygdtyj">[0]!djygdtyj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mghd">[0]!dmghd</definedName>
    <definedName name="DOC_NUM">#REF!</definedName>
    <definedName name="dochka" hidden="1">#N/A</definedName>
    <definedName name="dol">#REF!</definedName>
    <definedName name="dolt">#REF!</definedName>
    <definedName name="Dominioni">[4]Лист1!#REF!</definedName>
    <definedName name="DOR">#REF!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DT">#REF!</definedName>
    <definedName name="dtyjtd">[0]!dtyjtd</definedName>
    <definedName name="dtyktgjhy">[0]!dtyktgjhy</definedName>
    <definedName name="DV">[63]Баланс95!#REF!</definedName>
    <definedName name="DВ18">'[36]матер.(октябрь)'!#REF!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CI">[4]Лист1!#REF!</definedName>
    <definedName name="Ed1.">[4]Лист1!#REF!</definedName>
    <definedName name="edsaq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eeee" hidden="1">{#VALUE!,#N/A,TRUE,0}</definedName>
    <definedName name="efsefsefse" hidden="1">{#N/A,#N/A,FALSE,"Aging Summary";#N/A,#N/A,FALSE,"Ratio Analysis";#N/A,#N/A,FALSE,"Test 120 Day Accts";#N/A,#N/A,FALSE,"Tickmarks"}</definedName>
    <definedName name="EMF">[4]Лист1!#REF!</definedName>
    <definedName name="Emp_No">#N/A</definedName>
    <definedName name="Enterprize">[158]Настройка!$A$5</definedName>
    <definedName name="EPCS">[63]Баланс95!#REF!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gfd" hidden="1">{"ÜBERSICHT",#N/A,FALSE,"ABW KUM";"Kostenzoom",#N/A,FALSE,"ABW KUM";"ÜBERSICHT",#N/A,FALSE,"ABW HORE";"Kostenzoom",#N/A,FALSE,"ABW HORE"}</definedName>
    <definedName name="ert" hidden="1">{#N/A,#N/A,FALSE,"Aging Summary";#N/A,#N/A,FALSE,"Ratio Analysis";#N/A,#N/A,FALSE,"Test 120 Day Accts";#N/A,#N/A,FALSE,"Tickmarks"}</definedName>
    <definedName name="ertherhtr">[0]!ertherhtr</definedName>
    <definedName name="erthetse">[0]!erthetse</definedName>
    <definedName name="erty" hidden="1">{#N/A,#N/A,TRUE,"Буржуям"}</definedName>
    <definedName name="esnrc7c1" hidden="1">[159]comps!$A$47</definedName>
    <definedName name="etere" hidden="1">{"'Sheet1'!$A$12:$K$107"}</definedName>
    <definedName name="etruety">[0]!etruety</definedName>
    <definedName name="etyie5ty">[0]!etyie5ty</definedName>
    <definedName name="etyutye">[0]!etyutye</definedName>
    <definedName name="euity7iyu">[0]!euity7iyu</definedName>
    <definedName name="EUR">#REF!</definedName>
    <definedName name="EURO_RATE">[145]Parametrs!#REF!</definedName>
    <definedName name="eurutryut">[0]!eurutryut</definedName>
    <definedName name="EV">[160]курс!$C$4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_FilterDatabase_1">"$#ССЫЛ!.#ССЫЛ!#ССЫЛ!:#ССЫЛ!#ССЫЛ!"</definedName>
    <definedName name="Excel_BuiltIn__FilterDatabase_1_1">"$#ССЫЛ!.#ССЫЛ!#ССЫЛ!:#ССЫЛ!#ССЫЛ!"</definedName>
    <definedName name="Excel_BuiltIn__FilterDatabase_1_1_1">"$#ССЫЛ!.#ССЫЛ!#ССЫЛ!:#ССЫЛ!#ССЫЛ!"</definedName>
    <definedName name="Excel_BuiltIn__FilterDatabase_1_1_1_1">"$#ССЫЛ!.#ССЫЛ!#ССЫЛ!:#ССЫЛ!#ССЫЛ!"</definedName>
    <definedName name="Excel_BuiltIn__FilterDatabase_1_1_2">"$#ССЫЛ!.#ССЫЛ!#ССЫЛ!:#ССЫЛ!#ССЫЛ!"</definedName>
    <definedName name="Excel_BuiltIn__FilterDatabase_1_2">"$#ССЫЛ!.#ССЫЛ!#ССЫЛ!:#ССЫЛ!#ССЫЛ!"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4_1">#REF!</definedName>
    <definedName name="Excel_BuiltIn__FilterDatabase_2">#REF!</definedName>
    <definedName name="Excel_BuiltIn__FilterDatabase_3_1">#REF!</definedName>
    <definedName name="Excel_BuiltIn__FilterDatabase_3_1_1">#REF!</definedName>
    <definedName name="Excel_BuiltIn__FilterDatabase_4_1">#REF!</definedName>
    <definedName name="Excel_BuiltIn__FilterDatabase_4_1_1">#REF!</definedName>
    <definedName name="Excel_BuiltIn__FilterDatabase_5_1">#REF!</definedName>
    <definedName name="Excel_BuiltIn__FilterDatabase_5_1_1">#REF!</definedName>
    <definedName name="Excel_BuiltIn__FilterDatabase_6_1">#REF!</definedName>
    <definedName name="Excel_BuiltIn__FilterDatabase_7_1">#REF!</definedName>
    <definedName name="Excel_BuiltIn__FilterDatabase_8_1">#REF!</definedName>
    <definedName name="Excel_BuiltIn__FilterDatabase_8_1_1">#REF!</definedName>
    <definedName name="Excel_BuiltIn__FilterDatabase_9_1">#REF!</definedName>
    <definedName name="Excel_BuiltIn_Print_Area_1">[161]Сводная!$B$3:$E$94</definedName>
    <definedName name="Excel_BuiltIn_Print_Area_1_1">"$#ССЫЛ!.#ССЫЛ!#ССЫЛ!:#ССЫЛ!#ССЫЛ!"</definedName>
    <definedName name="Excel_BuiltIn_Print_Area_1_1_1">"$#ССЫЛ!.#ССЫЛ!#ССЫЛ!:#ССЫЛ!#ССЫЛ!"</definedName>
    <definedName name="Excel_BuiltIn_Print_Area_1_1_1_1">"$#ССЫЛ!.#ССЫЛ!#ССЫЛ!:#ССЫЛ!#ССЫЛ!"</definedName>
    <definedName name="Excel_BuiltIn_Print_Area_1_1_2">"$#ССЫЛ!.#ССЫЛ!#ССЫЛ!:#ССЫЛ!#ССЫЛ!"</definedName>
    <definedName name="Excel_BuiltIn_Print_Area_1_2">"$#ССЫЛ!.#ССЫЛ!#ССЫЛ!:#ССЫЛ!#ССЫЛ!"</definedName>
    <definedName name="Excel_BuiltIn_Print_Area_3">#REF!</definedName>
    <definedName name="Excel_BuiltIn_Print_Area_31_1">'[162]анализ площадей'!#REF!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Area_9_1">#REF!</definedName>
    <definedName name="Exch_rate">[148]KEY!#REF!</definedName>
    <definedName name="eyjhty">[0]!eyjhty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all">#REF!</definedName>
    <definedName name="Fall1">#REF!</definedName>
    <definedName name="Fall2">#REF!</definedName>
    <definedName name="fddhghjgh">[0]!fddhghjgh</definedName>
    <definedName name="fdgkghj">[0]!fdgkghj</definedName>
    <definedName name="fdhjhj">[0]!fdhjhj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ederal_Tax_Rate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hidden="1">{"ÜBERSICHT",#N/A,FALSE,"ABW KUM";"Kostenzoom",#N/A,FALSE,"ABW KUM";"ÜBERSICHT",#N/A,FALSE,"ABW HORE";"Kostenzoom",#N/A,FALSE,"ABW HORE"}</definedName>
    <definedName name="fghdj">[0]!fghdj</definedName>
    <definedName name="fgjdjg">[0]!fgjdjg</definedName>
    <definedName name="fhgfkjghk">[0]!fhgfkjghk</definedName>
    <definedName name="Filename">#REF!</definedName>
    <definedName name="Filialen" hidden="1">{"ÜBER mit FW","THU",FALSE,"HORE KORR!";"ÜBERSICHT",#N/A,FALSE,"BUDGET 1997_98";"ÜBER mit FW",#N/A,FALSE,"IST KUM KORR!!";"ÜBERSICHT",#N/A,FALSE,"PLAN KUM"}</definedName>
    <definedName name="financing">[148]KEY!#REF!</definedName>
    <definedName name="fix">[141]Library!$E$2:$E$47</definedName>
    <definedName name="fjdgj">[0]!fjdgj</definedName>
    <definedName name="fjdgjgjk">[0]!fjdgjgjk</definedName>
    <definedName name="fjdgjkhj">[0]!fjdgjkhj</definedName>
    <definedName name="fjgfh">[0]!fjgfh</definedName>
    <definedName name="fjhgd" hidden="1">{"'Sheet1'!$A$1:$G$85"}</definedName>
    <definedName name="FKdisk">"Диагр. 2"</definedName>
    <definedName name="FLL_NAME">#REF!</definedName>
    <definedName name="Floor">[145]Parametrs!$B$7:$AI$7</definedName>
    <definedName name="footer">#REF!</definedName>
    <definedName name="Functional_Uses">[76]Inputs_Assumptions!$B$25:$G$25</definedName>
    <definedName name="Fund_name">[163]AccReport!#REF!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X_Rates">[164]Reference!$G$32:$I$73</definedName>
    <definedName name="G" hidden="1">{"'Grafik Kontrol'!$A$1:$J$8"}</definedName>
    <definedName name="gdhg">[0]!gdhg</definedName>
    <definedName name="GE_COUNT_1">[140]Расчеты!$B$48</definedName>
    <definedName name="GE_COUNT_2">[140]Расчеты!$B$49</definedName>
    <definedName name="GE_COUNT_3">[140]Расчеты!$B$50</definedName>
    <definedName name="GELLL" hidden="1">{"'Grafik Kontrol'!$A$1:$J$8"}</definedName>
    <definedName name="general_exp." hidden="1">{#N/A,"100% Success",TRUE,"Sales Forecast";#N/A,#N/A,TRUE,"Sheet2"}</definedName>
    <definedName name="GetSANDValue">[35]!GetSANDValue</definedName>
    <definedName name="GetVal">[35]!GetVal</definedName>
    <definedName name="gfjdgkfjk">[0]!gfjdgkfjk</definedName>
    <definedName name="gfjgh">[0]!gfjgh</definedName>
    <definedName name="gfjghjf">[0]!gfjghjf</definedName>
    <definedName name="gfsahgsdhf" hidden="1">#REF!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ghghghghgh" hidden="1">{"glc1",#N/A,FALSE,"GLC";"glc2",#N/A,FALSE,"GLC";"glc3",#N/A,FALSE,"GLC";"glc4",#N/A,FALSE,"GLC";"glc5",#N/A,FALSE,"GLC"}</definedName>
    <definedName name="ghhg" hidden="1">{"'Grafik Kontrol'!$A$1:$J$8"}</definedName>
    <definedName name="ghhgh" hidden="1">{"assets",#N/A,FALSE,"historicBS";"liab",#N/A,FALSE,"historicBS";"is",#N/A,FALSE,"historicIS";"ratios",#N/A,FALSE,"ratios"}</definedName>
    <definedName name="ghjdetre">[0]!ghjdetre</definedName>
    <definedName name="ghjdgj">[0]!ghjdgj</definedName>
    <definedName name="ghjhfj">#REF!</definedName>
    <definedName name="GHJIH">[63]Баланс95!#REF!</definedName>
    <definedName name="gjdfkfgh">[0]!gjdfkfgh</definedName>
    <definedName name="gjgfkfhjk">[0]!gjgfkfhjk</definedName>
    <definedName name="gjgh" hidden="1">{"'Prices'!$A$4:$J$27"}</definedName>
    <definedName name="gjgj">[0]!gjgj</definedName>
    <definedName name="gjgjgjgjjggj" hidden="1">{"glc1",#N/A,FALSE,"GLC";"glc2",#N/A,FALSE,"GLC";"glc3",#N/A,FALSE,"GLC";"glc4",#N/A,FALSE,"GLC";"glc5",#N/A,FALSE,"GLC"}</definedName>
    <definedName name="gkkhj">[0]!gkkhj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rahp" hidden="1">[7]T1!#REF!</definedName>
    <definedName name="Grand_Total">#N/A</definedName>
    <definedName name="Graph_Cum._financing_surplus">[148]KEY!#REF!</definedName>
    <definedName name="Graph_Financing_surplus">[148]KEY!#REF!</definedName>
    <definedName name="Graph_Operating_expenses">[148]KEY!#REF!</definedName>
    <definedName name="Graph_Operating_profit">[148]KEY!#REF!</definedName>
    <definedName name="Graph_Profit_after_tax">[148]KEY!#REF!</definedName>
    <definedName name="Graph_Profit_before_tax">[148]KEY!#REF!</definedName>
    <definedName name="Graph_sales">[148]KEY!#REF!</definedName>
    <definedName name="Graph_Years">[148]KEY!#REF!</definedName>
    <definedName name="guhtgjhy">[0]!guhtgjhy</definedName>
    <definedName name="gv" hidden="1">{#N/A,#N/A,TRUE,"Буржуям"}</definedName>
    <definedName name="h">#REF!</definedName>
    <definedName name="Header">#REF!</definedName>
    <definedName name="headrom">[147]Reference!$G$10:$G$17</definedName>
    <definedName name="Headroom">[147]Reference!$G$10:$G$17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_en">#REF!</definedName>
    <definedName name="help_ru">#REF!</definedName>
    <definedName name="hgfd">#REF!</definedName>
    <definedName name="hghghfhf" hidden="1">{"assets",#N/A,FALSE,"historicBS";"liab",#N/A,FALSE,"historicBS";"is",#N/A,FALSE,"historicIS";"ratios",#N/A,FALSE,"ratios"}</definedName>
    <definedName name="hgnb" hidden="1">[19]опт!$A$8:$C$98</definedName>
    <definedName name="hgnb1" hidden="1">[19]опт!$A$8:$C$98</definedName>
    <definedName name="hgnb5" hidden="1">[19]опт!$A$8:$C$98</definedName>
    <definedName name="HH" hidden="1">{"'Grafik Kontrol'!$A$1:$J$8"}</definedName>
    <definedName name="hjdg">[0]!hjdg</definedName>
    <definedName name="hjhjhjjh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hidden="1">{#N/A,#N/A,TRUE,"Буржуям"}</definedName>
    <definedName name="hkhkhkhkhkh" hidden="1">{"glc1",#N/A,FALSE,"GLC";"glc2",#N/A,FALSE,"GLC";"glc3",#N/A,FALSE,"GLC";"glc4",#N/A,FALSE,"GLC";"glc5",#N/A,FALSE,"GLC"}</definedName>
    <definedName name="hmjgj">[0]!hmjgj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_1">#REF!</definedName>
    <definedName name="I_2">#REF!</definedName>
    <definedName name="IBC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kiahg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hidden="1">{"Output-Min",#N/A,FALSE,"Output"}</definedName>
    <definedName name="IN_ASSET_11">[140]Inside!$A$131</definedName>
    <definedName name="IN_ASSET_12">[140]Inside!$A$134</definedName>
    <definedName name="IN_ASSET_13">[140]Inside!$A$138</definedName>
    <definedName name="IN_ASSET_14">[140]Inside!$A$142</definedName>
    <definedName name="IN_ASSET_15">[140]Inside!$A$146</definedName>
    <definedName name="IN_ASSET_21">[140]Inside!$A$150</definedName>
    <definedName name="IN_ASSET_22">[140]Inside!$A$153</definedName>
    <definedName name="IN_ASSET_23">[140]Inside!$A$157</definedName>
    <definedName name="IN_ASSET_24">[140]Inside!$A$161</definedName>
    <definedName name="IN_ASSET_25">[140]Inside!$A$165</definedName>
    <definedName name="IN_ASSET_31">[140]Inside!$A$169</definedName>
    <definedName name="IN_ASSET_32">[140]Inside!$A$172</definedName>
    <definedName name="IN_ASSET_33">[140]Inside!$A$176</definedName>
    <definedName name="IN_ASSET_34">[140]Inside!$A$180</definedName>
    <definedName name="IN_ASSET_35">[140]Inside!$A$184</definedName>
    <definedName name="IN_ASSET_41">[140]Inside!$A$188</definedName>
    <definedName name="IN_ASSET_42">[140]Inside!$A$191</definedName>
    <definedName name="IN_ASSET_43">[140]Inside!$A$195</definedName>
    <definedName name="IN_ASSET_44">[140]Inside!$A$199</definedName>
    <definedName name="IN_ASSET_45">[140]Inside!$A$203</definedName>
    <definedName name="IN_ASSET_51">[140]Inside!$A$207</definedName>
    <definedName name="IN_ASSET_52">[140]Inside!$A$210</definedName>
    <definedName name="IN_ASSET_53">[140]Inside!$A$214</definedName>
    <definedName name="IN_ASSET_54">[140]Inside!$A$218</definedName>
    <definedName name="IN_ASSET_55">[140]Inside!$A$222</definedName>
    <definedName name="IN_ASSET_61">[140]Inside!$A$226</definedName>
    <definedName name="IN_ASSET_62">[140]Inside!$A$229</definedName>
    <definedName name="IN_ASSET_63">[140]Inside!$A$233</definedName>
    <definedName name="IN_ASSET_64">[140]Inside!$A$237</definedName>
    <definedName name="IN_ASSET_65">[140]Inside!$A$241</definedName>
    <definedName name="IN_ASSET_71">[140]Inside!$A$245</definedName>
    <definedName name="IN_ASSET_72">[140]Inside!$A$248</definedName>
    <definedName name="IN_ASSET_73">[140]Inside!$A$252</definedName>
    <definedName name="IN_ASSET_74">[140]Inside!$A$256</definedName>
    <definedName name="IN_ASSET_75">[140]Inside!$A$260</definedName>
    <definedName name="IND_CMR_TEK">#N/A</definedName>
    <definedName name="IND_OB_TEK">#N/A</definedName>
    <definedName name="Input1" hidden="1">{#N/A,#N/A,FALSE,"Aging Summary";#N/A,#N/A,FALSE,"Ratio Analysis";#N/A,#N/A,FALSE,"Test 120 Day Accts";#N/A,#N/A,FALSE,"Tickmarks"}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IDE_COST_1">[140]Inside!$A$58</definedName>
    <definedName name="INSIDE_COST_2">[140]Inside!$A$70</definedName>
    <definedName name="INSIDE_COST_3">[140]Inside!$A$82</definedName>
    <definedName name="INSIDE_COST_4">[140]Inside!$A$94</definedName>
    <definedName name="INSIDE_COST_5">[140]Inside!$A$106</definedName>
    <definedName name="INSIDE_COST_6">[140]Inside!$A$118</definedName>
    <definedName name="INSIDE_GE_1">[140]Inside!$A$266</definedName>
    <definedName name="INSIDE_GE_2">[140]Inside!$A$271</definedName>
    <definedName name="INSIDE_GE_3">[140]Inside!$A$276</definedName>
    <definedName name="INSIDE_GE_VAT_1">[140]Inside!$A$280</definedName>
    <definedName name="INSIDE_GE_VAT_2">[140]Inside!$A$285</definedName>
    <definedName name="INSIDE_GE_VAT_3">[140]Inside!$A$290</definedName>
    <definedName name="INSIDE_PERS_1">[140]Inside!$A$299</definedName>
    <definedName name="INSIDE_PERS_2">[140]Inside!$A$302</definedName>
    <definedName name="INSIDE_PERS_3">[140]Inside!$A$312</definedName>
    <definedName name="INSIDE_PROD_1">[140]Inside!$A$8</definedName>
    <definedName name="INSIDE_PROD_2">[140]Inside!$A$20</definedName>
    <definedName name="INSIDE_PROD_3">[140]Inside!$A$32</definedName>
    <definedName name="INSIDE_PROD_4">[140]Inside!$A$44</definedName>
    <definedName name="INSIDE_SHARE_1">[140]Inside!$A$316</definedName>
    <definedName name="INSIDE_SHARE_2">[140]Inside!$A$319</definedName>
    <definedName name="INSIDE_SHARE_3">[140]Inside!$A$322</definedName>
    <definedName name="INT">[63]Баланс95!#REF!</definedName>
    <definedName name="Int_Rate">#REF!</definedName>
    <definedName name="INTER_RATE_1">#REF!</definedName>
    <definedName name="INTER_RATE_2">#REF!</definedName>
    <definedName name="INTER_RATE_3">#REF!</definedName>
    <definedName name="interconn_pay">[148]KEY!#REF!</definedName>
    <definedName name="interest">'[156]Master Inputs Start Here'!$D$13</definedName>
    <definedName name="Interval">[109]Настройка!$B$13</definedName>
    <definedName name="INV_NUM">#REF!</definedName>
    <definedName name="INVENT_FRA">[140]Расчеты!$C$35</definedName>
    <definedName name="INVENT_INT">[140]Расчеты!$B$35</definedName>
    <definedName name="INVENT_PERIOD">#REF!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DEMO">[140]Расчеты!$B$61</definedName>
    <definedName name="IS_PRO">[140]Расчеты!$B$5</definedName>
    <definedName name="İŞŞL" hidden="1">{"'Grafik Kontrol'!$A$1:$J$8"}</definedName>
    <definedName name="IV">#REF!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атр33">[4]Лист1!$I$23</definedName>
    <definedName name="j">#REF!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fldjfs" hidden="1">{#N/A,#N/A,FALSE,"Aging Summary";#N/A,#N/A,FALSE,"Ratio Analysis";#N/A,#N/A,FALSE,"Test 120 Day Accts";#N/A,#N/A,FALSE,"Tickmarks"}</definedName>
    <definedName name="jghfl" hidden="1">{"Output-Min",#N/A,FALSE,"Output"}</definedName>
    <definedName name="jgjhg" hidden="1">#REF!</definedName>
    <definedName name="jgtkhgk">[0]!jgtkhgk</definedName>
    <definedName name="jgtyjutyyji">[0]!jgtyjutyyji</definedName>
    <definedName name="jhgfr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oaquim" hidden="1">{#N/A,"100% Success",TRUE,"Sales Forecast";#N/A,#N/A,TRUE,"Sheet2"}</definedName>
    <definedName name="Jатр33">[4]Лист1!$J$23</definedName>
    <definedName name="K" hidden="1">{"'Grafik Kontrol'!$A$1:$J$8"}</definedName>
    <definedName name="k_5_10_str">[165]Analitics_Values!$F$3</definedName>
    <definedName name="k_50_60_str">[165]Analitics_Values!$F$4</definedName>
    <definedName name="k_70_80_str">[165]Analitics_Values!$F$5</definedName>
    <definedName name="K_CMR_84">#N/A</definedName>
    <definedName name="K_CMR_91">#N/A</definedName>
    <definedName name="K_INF_PL">#N/A</definedName>
    <definedName name="K_INF_TEK">#N/A</definedName>
    <definedName name="K_OB_84">#N/A</definedName>
    <definedName name="K_OB_91">#N/A</definedName>
    <definedName name="K_PR_84">#N/A</definedName>
    <definedName name="K_PR_91">#N/A</definedName>
    <definedName name="K_UD_PR">#N/A</definedName>
    <definedName name="kad_num">[43]Кадастр!$B$4:$B$1597</definedName>
    <definedName name="kb1_1__1__">'[12]Актив Л1'!$AM$8:$AX$8</definedName>
    <definedName name="kb15_0__2__">'[12]Актив Л1'!$AP$25:$AX$26</definedName>
    <definedName name="kb15_1__2__">'[12]Актив Л1'!$AG$25:$AO$26</definedName>
    <definedName name="kb2_1__1__">'[12]Актив Л1'!$J$10:$AF$10</definedName>
    <definedName name="kb22_1__2__">'[12]Актив Л1'!$AG$27:$AO$27</definedName>
    <definedName name="kb23_1__2__">'[12]Актив Л1'!$AG$28:$AO$29</definedName>
    <definedName name="kb24_1__2__">'[12]Актив Л1'!$AG$30:$AO$30</definedName>
    <definedName name="kb25_1__2__">'[12]Актив Л1'!$AG$31:$AO$32</definedName>
    <definedName name="kb26_1__2__">'[12]Актив Л1'!$AG$33:$AO$34</definedName>
    <definedName name="kb27_1__2__">'[12]Актив Л1'!$AG$35:$AO$36</definedName>
    <definedName name="kb29_1__2__">'[12]Актив Л1'!$AG$37:$AO$38</definedName>
    <definedName name="kb3_1__1__">'[12]Актив Л1'!$AM$10:$AX$10</definedName>
    <definedName name="kb30_1__2__">'[12]Актив Л1'!$AG$39:$AO$39</definedName>
    <definedName name="kb31_1__2__">'[12]Актив Л1'!$AG$40:$AO$41</definedName>
    <definedName name="kb32_1__2__">'[12]Актив Л1'!$AG$42:$AO$43</definedName>
    <definedName name="kb33_1__2__">'[12]Актив Л1'!$AG$44:$AO$44</definedName>
    <definedName name="kb34_1__2__">'[12]Актив Л1'!$AG$45:$AO$46</definedName>
    <definedName name="kb35_1__2__">'[12]Актив Л1'!$AG$47:$AO$47</definedName>
    <definedName name="kb36_1__2__">'[12]Актив Л1'!$AG$48:$AO$48</definedName>
    <definedName name="kb37_0__2__1">'[12]Актив Л1'!$A$49:$AB$49</definedName>
    <definedName name="kb37_1__2__1">'[12]Актив Л1'!$AG$49:$AO$49</definedName>
    <definedName name="kb37_2__2__1">'[12]Актив Л1'!$AP$49:$AX$49</definedName>
    <definedName name="kb4_1__1__">'[12]Актив Л1'!$A$12:$R$12</definedName>
    <definedName name="kb5_1__1__">'[12]Актив Л1'!$AM$11:$AR$12</definedName>
    <definedName name="kb6_1__1__">'[12]Актив Л1'!$T$12:$AC$12</definedName>
    <definedName name="kb7_1__1__">'[12]Актив Л1'!$AS$11:$AX$12</definedName>
    <definedName name="kbcn12">[0]!Weekday_count*[0]!Standard_Daily_Hours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E">#REF!</definedName>
    <definedName name="KIM">#REF!</definedName>
    <definedName name="KIMM">#REF!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mnzxp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k" hidden="1">{#N/A,#N/A,TRUE,"Буржуям"}</definedName>
    <definedName name="kkkkk" hidden="1">{"glc1",#N/A,FALSE,"GLC";"glc2",#N/A,FALSE,"GLC";"glc3",#N/A,FALSE,"GLC";"glc4",#N/A,FALSE,"GLC";"glc5",#N/A,FALSE,"GLC"}</definedName>
    <definedName name="Kod">#REF!</definedName>
    <definedName name="kotir_ak">#REF!</definedName>
    <definedName name="kotir_ob">#REF!</definedName>
    <definedName name="ktzuk" hidden="1">{#N/A,#N/A,FALSE,"Aging Summary";#N/A,#N/A,FALSE,"Ratio Analysis";#N/A,#N/A,FALSE,"Test 120 Day Accts";#N/A,#N/A,FALSE,"Tickmarks"}</definedName>
    <definedName name="kurs">[43]Исх_данные!$B$14</definedName>
    <definedName name="Kатр33">[4]Лист1!$K$23</definedName>
    <definedName name="l" hidden="1">{"ÜBER mit FW","THU",FALSE,"HORE KORR!";"ÜBERSICHT",#N/A,FALSE,"BUDGET 1997_98";"ÜBER mit FW",#N/A,FALSE,"IST KUM KORR!!";"ÜBERSICHT",#N/A,FALSE,"PLAN KUM"}</definedName>
    <definedName name="L3ф73">#REF!</definedName>
    <definedName name="L3ф75">#REF!</definedName>
    <definedName name="L3ф76">#REF!</definedName>
    <definedName name="L3ф79">#REF!</definedName>
    <definedName name="L3ф80">#REF!</definedName>
    <definedName name="LA">[145]Parametrs!$B$12:$C$12</definedName>
    <definedName name="Lang">[166]Groupings!$G$2</definedName>
    <definedName name="LANG_SELECTION_PROMPT">#REF!</definedName>
    <definedName name="Language">#REF!</definedName>
    <definedName name="LB">[4]Лист1!#REF!</definedName>
    <definedName name="LD">[63]Баланс95!#REF!</definedName>
    <definedName name="ldfgdfg" hidden="1">{"Area1",#N/A,FALSE,"OREWACC";"Area2",#N/A,FALSE,"OREWACC"}</definedName>
    <definedName name="LEASES_NUM">[140]Расчеты!$B$24</definedName>
    <definedName name="LeaseStatus">[145]Parametrs!$B$3:$G$3</definedName>
    <definedName name="Leasure">#REF!</definedName>
    <definedName name="LEVELS">#REF!</definedName>
    <definedName name="LEXAN">'[34]см. ЦЕНЫ '!$B$288</definedName>
    <definedName name="lfr" hidden="1">{"'интерфейс'!$J$31:$M$43"}</definedName>
    <definedName name="lg">[166]Список!#REF!</definedName>
    <definedName name="LGP_1">#REF!</definedName>
    <definedName name="LGP_CODE">#REF!</definedName>
    <definedName name="LGP_NAME">#REF!</definedName>
    <definedName name="LifeCycle">[145]Parametrs!$B$2:$D$2</definedName>
    <definedName name="limcount" hidden="1">1</definedName>
    <definedName name="LINK_TO_SENS">#REF!</definedName>
    <definedName name="List_Curr">[167]DropDownList!$D$1:$D$5</definedName>
    <definedName name="List_NewRef">[167]DropDownList!$G$1:$G$3</definedName>
    <definedName name="List_OpEx">[168]DropDownList!$A$1:$A$4</definedName>
    <definedName name="List_Org">#REF!</definedName>
    <definedName name="LIST_PERLEN">[140]Расчеты!$B$6</definedName>
    <definedName name="LIST_STARTMON">[140]Расчеты!$B$9</definedName>
    <definedName name="LIST_STARTYEAR">[140]Расчеты!$B$10</definedName>
    <definedName name="lki" hidden="1">{"glc1",#N/A,FALSE,"GLC";"glc2",#N/A,FALSE,"GLC";"glc3",#N/A,FALSE,"GLC";"glc4",#N/A,FALSE,"GLC";"glc5",#N/A,FALSE,"GLC"}</definedName>
    <definedName name="lkj" hidden="1">{#N/A,#N/A,FALSE,"Aging Summary";#N/A,#N/A,FALSE,"Ratio Analysis";#N/A,#N/A,FALSE,"Test 120 Day Accts";#N/A,#N/A,FALSE,"Tickmarks"}</definedName>
    <definedName name="lkjhk" hidden="1">{"IASTrail",#N/A,FALSE,"IAS"}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NUM">[140]Расчеты!$B$22</definedName>
    <definedName name="LONGITUDE">#REF!</definedName>
    <definedName name="lv">[166]Дебиторы!$B$4</definedName>
    <definedName name="Lв214">#REF!</definedName>
    <definedName name="Lф223">#REF!</definedName>
    <definedName name="Lф225">#REF!</definedName>
    <definedName name="Lф226">#REF!</definedName>
    <definedName name="Lф228">#REF!</definedName>
    <definedName name="Lф229">#REF!</definedName>
    <definedName name="Lф252">#REF!</definedName>
    <definedName name="Lф255">#REF!</definedName>
    <definedName name="Lф258">#REF!</definedName>
    <definedName name="Lф259">#REF!</definedName>
    <definedName name="Lф270">#REF!</definedName>
    <definedName name="Lф277">#REF!</definedName>
    <definedName name="Lф318">#REF!</definedName>
    <definedName name="Lф337">#REF!</definedName>
    <definedName name="Lф349">#REF!</definedName>
    <definedName name="Lф355">#REF!</definedName>
    <definedName name="Lф356">#REF!</definedName>
    <definedName name="Lф363">#REF!</definedName>
    <definedName name="Lф364">#REF!</definedName>
    <definedName name="Lф366">#REF!</definedName>
    <definedName name="Lф370">#REF!</definedName>
    <definedName name="Lф372">#REF!</definedName>
    <definedName name="Lф381">#REF!</definedName>
    <definedName name="Lф385">#REF!</definedName>
    <definedName name="Lф451">#REF!</definedName>
    <definedName name="Lф452">#REF!</definedName>
    <definedName name="Lф457">#REF!</definedName>
    <definedName name="Lф470">#REF!</definedName>
    <definedName name="Lф473">#REF!</definedName>
    <definedName name="Lф481">#REF!</definedName>
    <definedName name="Lф482">#REF!</definedName>
    <definedName name="Lф483">#REF!</definedName>
    <definedName name="Lф486">#REF!</definedName>
    <definedName name="M">[63]Баланс95!#REF!</definedName>
    <definedName name="market" hidden="1">{#N/A,"70% Success",FALSE,"Sales Forecast";#N/A,#N/A,FALSE,"Sheet2"}</definedName>
    <definedName name="market_supply">[145]Parametrs!$B$9:$C$9</definedName>
    <definedName name="MAX_DURATION">[140]Расчеты!$B$41</definedName>
    <definedName name="MAX_SENS_OFFSET">[140]Расчеты!$B$44</definedName>
    <definedName name="MEM_FIO">#REF!</definedName>
    <definedName name="MEM_ROLE">#REF!</definedName>
    <definedName name="MEM_SIGN">#REF!</definedName>
    <definedName name="Middle">#REF!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onths">[164]Reference!$G$77:$G$88</definedName>
    <definedName name="MPCS">[63]Баланс95!#REF!</definedName>
    <definedName name="MS">[63]Баланс95!#REF!</definedName>
    <definedName name="Na">#REF!</definedName>
    <definedName name="name" hidden="1">{#N/A,#N/A,FALSE,"Aging Summary";#N/A,#N/A,FALSE,"Ratio Analysis";#N/A,#N/A,FALSE,"Test 120 Day Accts";#N/A,#N/A,FALSE,"Tickmarks"}</definedName>
    <definedName name="NB">[63]Баланс95!#REF!</definedName>
    <definedName name="NCS">[63]Баланс95!#REF!</definedName>
    <definedName name="NDS">#REF!</definedName>
    <definedName name="nekotir_ak">#REF!</definedName>
    <definedName name="nekotir_ob">#REF!</definedName>
    <definedName name="New_spaces">[139]Sensitivity!$I$35</definedName>
    <definedName name="nfyz" hidden="1">{#N/A,#N/A,TRUE,"Буржуям"}</definedName>
    <definedName name="Nhf">[131]НФИк!$A$17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No.1">[42]Sum!$B$2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7">#REF!</definedName>
    <definedName name="No.18">[169]WorkCap!$B$2</definedName>
    <definedName name="No.2">[42]DCF!$B$9</definedName>
    <definedName name="No.22">'[156]HBS initial'!#REF!</definedName>
    <definedName name="No.23">'[156]HBS initial'!#REF!</definedName>
    <definedName name="No.24">'[156]HBS initial'!#REF!</definedName>
    <definedName name="No.25">'[156]HBS initial'!#REF!</definedName>
    <definedName name="No.26">'[156]HBS initial'!#REF!</definedName>
    <definedName name="No.28">'[156]HIS initial'!#REF!</definedName>
    <definedName name="No.29">'[156]HIS initial'!#REF!</definedName>
    <definedName name="No.3">#REF!</definedName>
    <definedName name="No.30">'[156]HIS initial'!#REF!</definedName>
    <definedName name="No.31">'[156]HIS initial'!#REF!</definedName>
    <definedName name="No.7">#REF!</definedName>
    <definedName name="No.8">#REF!</definedName>
    <definedName name="No.9">[170]WACC!$B$2</definedName>
    <definedName name="Nom_prosp">[154]F1_SPRAV!$B$3</definedName>
    <definedName name="NPR">#REF!</definedName>
    <definedName name="NPS">[63]Баланс95!#REF!</definedName>
    <definedName name="NPT">[63]Баланс95!#REF!</definedName>
    <definedName name="NPV">#REF!</definedName>
    <definedName name="NR">#REF!</definedName>
    <definedName name="NS">[63]Баланс95!#REF!</definedName>
    <definedName name="o" hidden="1">{"DRUCK",#N/A,FALSE,"HOCHRECHNUNG KORR!!!!";"DRUCK",#N/A,FALSE,"BUDGET 1997_98";"DRUCK",#N/A,FALSE,"PL KUM";"DRUCK",#N/A,FALSE,"VJ KUM";"DRUCK",#N/A,FALSE,"IST KUM KORR!!!"}</definedName>
    <definedName name="OBJ_AREA">#REF!</definedName>
    <definedName name="OBJ_NAME">#REF!</definedName>
    <definedName name="offer">1.15</definedName>
    <definedName name="OI" hidden="1">{"'Grafik Kontrol'!$A$1:$J$8"}</definedName>
    <definedName name="oil" hidden="1">{"Table A,pg 1",#N/A,FALSE,"Table A-Prov GUR";"Table A,pg 2",#N/A,FALSE,"Table A-Prov GUR"}</definedName>
    <definedName name="okliyedv" hidden="1">{"glc1",#N/A,FALSE,"GLC";"glc2",#N/A,FALSE,"GLC";"glc3",#N/A,FALSE,"GLC";"glc4",#N/A,FALSE,"GLC";"glc5",#N/A,FALSE,"GLC"}</definedName>
    <definedName name="old_kurs">[171]ДАННЫЕ!$C$17</definedName>
    <definedName name="OLE_LINK2_79">NA()</definedName>
    <definedName name="olga_f">#REF!</definedName>
    <definedName name="olkjui" hidden="1">{"glc1",#N/A,FALSE,"GLC";"glc2",#N/A,FALSE,"GLC";"glc3",#N/A,FALSE,"GLC";"glc4",#N/A,FALSE,"GLC";"glc5",#N/A,FALSE,"GLC"}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hidden="1">{"glc1",#N/A,FALSE,"GLC";"glc2",#N/A,FALSE,"GLC";"glc3",#N/A,FALSE,"GLC";"glc4",#N/A,FALSE,"GLC";"glc5",#N/A,FALSE,"GLC"}</definedName>
    <definedName name="ooooo" hidden="1">{"ÜBER mit FW","THU",FALSE,"HORE KORR!";"ÜBERSICHT",#N/A,FALSE,"BUDGET 1997_98";"ÜBER mit FW",#N/A,FALSE,"IST KUM KORR!!";"ÜBERSICHT",#N/A,FALSE,"PLAN KUM"}</definedName>
    <definedName name="ooooooooooo" hidden="1">{"glc1",#N/A,FALSE,"GLC";"glc2",#N/A,FALSE,"GLC";"glc3",#N/A,FALSE,"GLC";"glc4",#N/A,FALSE,"GLC";"glc5",#N/A,FALSE,"GLC"}</definedName>
    <definedName name="OP">[63]Баланс95!#REF!</definedName>
    <definedName name="ORD_NN">#REF!</definedName>
    <definedName name="ORD_NN_VISIBLE">#REF!</definedName>
    <definedName name="Other_Account_From">#REF!</definedName>
    <definedName name="Other_Account_To">#REF!</definedName>
    <definedName name="Output_Directory">#REF!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C_MEC">#N/A</definedName>
    <definedName name="PART_CAPEX">#REF!</definedName>
    <definedName name="PART_FINANCE">#REF!</definedName>
    <definedName name="PART_GENEXP">#REF!</definedName>
    <definedName name="PART_PARAMETER">#REF!</definedName>
    <definedName name="PART_PERSONNEL">#REF!</definedName>
    <definedName name="PART_SALES">#REF!</definedName>
    <definedName name="PART_START">#REF!</definedName>
    <definedName name="PART_TAXES">#REF!</definedName>
    <definedName name="PBD_NAME">#REF!</definedName>
    <definedName name="pedro" hidden="1">{#N/A,"30% Success",TRUE,"Sales Forecast";#N/A,#N/A,TRUE,"Sheet2"}</definedName>
    <definedName name="Period_From">#REF!</definedName>
    <definedName name="PERIOD_LEN">[140]Расчеты!$B$7</definedName>
    <definedName name="Period_To">#REF!</definedName>
    <definedName name="Period1">[158]Настройка!$A$8</definedName>
    <definedName name="Period2">[172]Настройка!$A$11</definedName>
    <definedName name="PeriodLong">#REF!</definedName>
    <definedName name="PERS_COUNT_1">[140]Расчеты!$B$51</definedName>
    <definedName name="PERS_COUNT_2">[140]Расчеты!$B$52</definedName>
    <definedName name="PERS_COUNT_3">[140]Расчеты!$B$53</definedName>
    <definedName name="Pg1_Chrg_Totals">#N/A</definedName>
    <definedName name="Pg1_NChrg_Totals">#N/A</definedName>
    <definedName name="plan" hidden="1">[149]Plan!#REF!</definedName>
    <definedName name="plan1" hidden="1">[149]Plan!#REF!</definedName>
    <definedName name="PLMajeur" hidden="1">[149]Plan!#REF!</definedName>
    <definedName name="PlMineur" hidden="1">[149]Plan!#REF!</definedName>
    <definedName name="ploid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N">#REF!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ce_1_p">[165]Analitics_Values!$D$9</definedName>
    <definedName name="price_2_k">[165]Analitics_Values!$D$8</definedName>
    <definedName name="price_2_p">[165]Analitics_Values!$D$10</definedName>
    <definedName name="price_3_p">[165]Analitics_Values!$D$11</definedName>
    <definedName name="Price_dynamics">[139]Sensitivity!$S$6</definedName>
    <definedName name="PRIME_TASS_Report">#REF!</definedName>
    <definedName name="Pring_Titles">'[166]#ССЫЛКА'!$A$1:$IV$16</definedName>
    <definedName name="PRINT">#REF!</definedName>
    <definedName name="Print1">[173]Черновик!$A$1:$M$31</definedName>
    <definedName name="Print2">[173]Черновик!$A$32:$M$65</definedName>
    <definedName name="PRJ_DURATION">[140]Расчеты!$B$8</definedName>
    <definedName name="PRJ_NAME">#REF!</definedName>
    <definedName name="PRM">#REF!</definedName>
    <definedName name="PROD_1">#REF!</definedName>
    <definedName name="PROD_2">#REF!</definedName>
    <definedName name="PROD_3">#REF!</definedName>
    <definedName name="PROD_4">#REF!</definedName>
    <definedName name="PROD_5">#REF!</definedName>
    <definedName name="PROD_6">#REF!</definedName>
    <definedName name="PROD_7">#REF!</definedName>
    <definedName name="PROD_8">#REF!</definedName>
    <definedName name="PRODNUM_SELECTION">#REF!</definedName>
    <definedName name="PRODUCTS_NUM">[140]Расчеты!$B$13</definedName>
    <definedName name="PROFIT_TAX">#REF!</definedName>
    <definedName name="Profit_tax_lessee">'[174]Selling data'!$E$7</definedName>
    <definedName name="PRZ">#REF!</definedName>
    <definedName name="PSBV">[63]Баланс95!#REF!</definedName>
    <definedName name="PSI">[63]Баланс95!#REF!</definedName>
    <definedName name="PSR">#REF!</definedName>
    <definedName name="PSV">[63]Баланс95!#REF!</definedName>
    <definedName name="ptvkz" hidden="1">{"'Sheet1'!$A$1:$G$85"}</definedName>
    <definedName name="PUB_FileID" hidden="1">"L10003363.xls"</definedName>
    <definedName name="PUB_UserID" hidden="1">"MAYERX"</definedName>
    <definedName name="Purchase_price_end_user">'[174]Print Calc'!$E$23</definedName>
    <definedName name="PURPOSE">#REF!</definedName>
    <definedName name="PutHeader">[35]П!PutHeader</definedName>
    <definedName name="q" hidden="1">{"Inflation-BaseYear",#N/A,FALSE,"Inputs"}</definedName>
    <definedName name="qnty">[4]Лист1!#REF!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qqqqqqqqqqqqqqq" hidden="1">{"Area1",#N/A,FALSE,"OREWACC";"Area2",#N/A,FALSE,"OREWACC"}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angeToPoke">#REF!</definedName>
    <definedName name="rasr">[175]разряд!$A$1:$B$53</definedName>
    <definedName name="rat">#REF!</definedName>
    <definedName name="rate">[176]Hotel!$D$9</definedName>
    <definedName name="rate_3">#REF!</definedName>
    <definedName name="Rate0">[158]Настройка!$B$15</definedName>
    <definedName name="Rate1">[158]Настройка!$B$16</definedName>
    <definedName name="Rate2">#REF!</definedName>
    <definedName name="rateapr">#REF!</definedName>
    <definedName name="ratejan">#REF!</definedName>
    <definedName name="RawData">#REF!</definedName>
    <definedName name="RBC">#REF!</definedName>
    <definedName name="redo" hidden="1">{#N/A,#N/A,FALSE,"ACQ_GRAPHS";#N/A,#N/A,FALSE,"T_1 GRAPHS";#N/A,#N/A,FALSE,"T_2 GRAPHS";#N/A,#N/A,FALSE,"COMB_GRAPHS"}</definedName>
    <definedName name="refTable_str1">#REF!</definedName>
    <definedName name="refTable_str2">#REF!</definedName>
    <definedName name="refTable_str3">#REF!</definedName>
    <definedName name="refTable_str4">#REF!</definedName>
    <definedName name="refTable_str5">#REF!</definedName>
    <definedName name="refTable_str6">#REF!</definedName>
    <definedName name="refTable_str7">#REF!</definedName>
    <definedName name="refTable_str8">#REF!</definedName>
    <definedName name="refTable_str9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Roll">#REF!</definedName>
    <definedName name="REPAYMENTS">[148]KEY!#REF!</definedName>
    <definedName name="report_date">[145]BaseTable!$F$1:$ES$1</definedName>
    <definedName name="rere" hidden="1">{"'Sheet1'!$A$1:$G$85"}</definedName>
    <definedName name="resid1">[177]Предпосылки!$B$85</definedName>
    <definedName name="resid2">[177]Предпосылки!$B$86</definedName>
    <definedName name="resid3">[177]Предпосылки!$B$87</definedName>
    <definedName name="Rest">#REF!</definedName>
    <definedName name="rethehtr">[0]!rethehtr</definedName>
    <definedName name="ReturnMain">[178]!ReturnMain</definedName>
    <definedName name="reutyuert">[0]!reutyuert</definedName>
    <definedName name="reutyuet">[0]!reutyuet</definedName>
    <definedName name="Revenue_Tax_Rate">#REF!</definedName>
    <definedName name="rfdesw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Gd">"Диагр. 5"</definedName>
    <definedName name="rherjheher">[0]!rherjheher</definedName>
    <definedName name="rhjtrher">[0]!rhjtrher</definedName>
    <definedName name="rhjtrhetr">[0]!rhjtrhetr</definedName>
    <definedName name="rhwjrthe">[0]!rhwjrthe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">#REF!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ertuut">[0]!rtertuut</definedName>
    <definedName name="rth56uh56ju" hidden="1">{"glc1",#N/A,FALSE,"GLC";"glc2",#N/A,FALSE,"GLC";"glc3",#N/A,FALSE,"GLC";"glc4",#N/A,FALSE,"GLC";"glc5",#N/A,FALSE,"GLC"}</definedName>
    <definedName name="rtherjhtr">[0]!rtherjhtr</definedName>
    <definedName name="rthetjty">[0]!rthetjty</definedName>
    <definedName name="rthjerthe">[0]!rthjerthe</definedName>
    <definedName name="rthutuet">[0]!rthutuet</definedName>
    <definedName name="rtjutyki">[0]!rtjutyki</definedName>
    <definedName name="rtrtrt" hidden="1">{"glc1",#N/A,FALSE,"GLC";"glc2",#N/A,FALSE,"GLC";"glc3",#N/A,FALSE,"GLC";"glc4",#N/A,FALSE,"GLC";"glc5",#N/A,FALSE,"GLC"}</definedName>
    <definedName name="rtt" hidden="1">{"Area1",#N/A,FALSE,"OREWACC";"Area2",#N/A,FALSE,"OREWACC"}</definedName>
    <definedName name="rtue5y">[0]!rtue5y</definedName>
    <definedName name="rtuert">[0]!rtuert</definedName>
    <definedName name="rtuety">[0]!rtuety</definedName>
    <definedName name="rtuetyutu">[0]!rtuetyutu</definedName>
    <definedName name="rtueuteu">[0]!rtueuteu</definedName>
    <definedName name="rtuey">[0]!rtuey</definedName>
    <definedName name="rtuhre">[0]!rtuhre</definedName>
    <definedName name="rturjyuty">[0]!rturjyuty</definedName>
    <definedName name="rty" hidden="1">{#N/A,#N/A,FALSE,"Aging Summary";#N/A,#N/A,FALSE,"Ratio Analysis";#N/A,#N/A,FALSE,"Test 120 Day Accts";#N/A,#N/A,FALSE,"Tickmarks"}</definedName>
    <definedName name="rtyert">[0]!rtyert</definedName>
    <definedName name="rtyeruet">[0]!rtyeruet</definedName>
    <definedName name="rtyerujty">[0]!rtyerujty</definedName>
    <definedName name="rtyeturt">[0]!rtyeturt</definedName>
    <definedName name="rtytyru">[0]!rtytyru</definedName>
    <definedName name="ruetutyu">[0]!ruetutyu</definedName>
    <definedName name="RUR">#REF!</definedName>
    <definedName name="rutrutut">[0]!rutrutut</definedName>
    <definedName name="rutryutu">[0]!rutryutu</definedName>
    <definedName name="rutyuty">[0]!rutyuty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ryertt">[0]!ryertt</definedName>
    <definedName name="ryr5yut">[0]!ryr5yut</definedName>
    <definedName name="ryurut">[0]!ryurut</definedName>
    <definedName name="s" hidden="1">{#N/A,#N/A,FALSE,"Aging Summary";#N/A,#N/A,FALSE,"Ratio Analysis";#N/A,#N/A,FALSE,"Test 120 Day Accts";#N/A,#N/A,FALSE,"Tickmarks"}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0_G1">#REF!</definedName>
    <definedName name="S110_G2">#REF!</definedName>
    <definedName name="S110_G3">#REF!</definedName>
    <definedName name="S110_G4">#REF!</definedName>
    <definedName name="S110_G5">#REF!</definedName>
    <definedName name="S110_G6">#REF!</definedName>
    <definedName name="S120_G1">#REF!</definedName>
    <definedName name="S120_G2">#REF!</definedName>
    <definedName name="S120_G3">#REF!</definedName>
    <definedName name="S120_G4">#REF!</definedName>
    <definedName name="S120_G5">#REF!</definedName>
    <definedName name="S120_G6">#REF!</definedName>
    <definedName name="S130_G1">#REF!</definedName>
    <definedName name="S130_G2">#REF!</definedName>
    <definedName name="S130_G3">#REF!</definedName>
    <definedName name="S130_G4">#REF!</definedName>
    <definedName name="S130_G5">#REF!</definedName>
    <definedName name="S130_G6">#REF!</definedName>
    <definedName name="S140_G1">#REF!</definedName>
    <definedName name="S140_G2">#REF!</definedName>
    <definedName name="S140_G3">#REF!</definedName>
    <definedName name="S140_G4">#REF!</definedName>
    <definedName name="S140_G5">#REF!</definedName>
    <definedName name="S140_G6">#REF!</definedName>
    <definedName name="S150_G1">#REF!</definedName>
    <definedName name="S150_G2">#REF!</definedName>
    <definedName name="S150_G3">#REF!</definedName>
    <definedName name="S150_G4">#REF!</definedName>
    <definedName name="S150_G5">#REF!</definedName>
    <definedName name="S150_G6">#REF!</definedName>
    <definedName name="S160_G1">#REF!</definedName>
    <definedName name="S160_G2">#REF!</definedName>
    <definedName name="S160_G3">#REF!</definedName>
    <definedName name="S160_G4">#REF!</definedName>
    <definedName name="S160_G5">#REF!</definedName>
    <definedName name="S160_G6">#REF!</definedName>
    <definedName name="S170_G1">#REF!</definedName>
    <definedName name="S170_G2">#REF!</definedName>
    <definedName name="S170_G3">#REF!</definedName>
    <definedName name="S170_G4">#REF!</definedName>
    <definedName name="S170_G5">#REF!</definedName>
    <definedName name="S170_G6">#REF!</definedName>
    <definedName name="S180_G1">#REF!</definedName>
    <definedName name="S180_G2">#REF!</definedName>
    <definedName name="S180_G3">#REF!</definedName>
    <definedName name="S180_G4">#REF!</definedName>
    <definedName name="S180_G5">#REF!</definedName>
    <definedName name="S180_G6">#REF!</definedName>
    <definedName name="S190_G1">#REF!</definedName>
    <definedName name="S190_G2">#REF!</definedName>
    <definedName name="S190_G3">#REF!</definedName>
    <definedName name="S190_G4">#REF!</definedName>
    <definedName name="S190_G5">#REF!</definedName>
    <definedName name="S190_G6">#REF!</definedName>
    <definedName name="S20_G1">#REF!</definedName>
    <definedName name="S20_G2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0_G1">#REF!</definedName>
    <definedName name="S30_G2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0_G1">#REF!</definedName>
    <definedName name="S40_G2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0_G1">#REF!</definedName>
    <definedName name="S50_G2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0_G1">#REF!</definedName>
    <definedName name="S60_G2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0_G1">#REF!</definedName>
    <definedName name="S70_G2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0_G1">#REF!</definedName>
    <definedName name="S80_G2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0_G1">#REF!</definedName>
    <definedName name="S90_G2">#REF!</definedName>
    <definedName name="S90_G3">#REF!</definedName>
    <definedName name="S90_G4">#REF!</definedName>
    <definedName name="S90_G5">#REF!</definedName>
    <definedName name="S90_G6">#REF!</definedName>
    <definedName name="SAE">[63]Баланс95!#REF!</definedName>
    <definedName name="SALARY_TAX">#REF!</definedName>
    <definedName name="SALES_TAX">#REF!</definedName>
    <definedName name="SAPBEXhrIndnt" hidden="1">"Wide"</definedName>
    <definedName name="SAPBEXrevision" hidden="1">5</definedName>
    <definedName name="SAPBEXsysID" hidden="1">"BCP"</definedName>
    <definedName name="SAPBEXwbID" hidden="1">"3L9OXLS1XBUD6BY0FLXXHQ6NA"</definedName>
    <definedName name="SAPsysID" hidden="1">"708C5W7SBKP804JT78WJ0JNKI"</definedName>
    <definedName name="SAPwbID" hidden="1">"ARS"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best">#REF!</definedName>
    <definedName name="Selling_exp">[139]Sensitivity!$I$17</definedName>
    <definedName name="SellShift">#REF!</definedName>
    <definedName name="sencount" hidden="1">1</definedName>
    <definedName name="Sergey" hidden="1">{"Area1",#N/A,FALSE,"OREWACC";"Area2",#N/A,FALSE,"OREWACC"}</definedName>
    <definedName name="sfgjyk">[179]DropDownList!$G$1:$G$3</definedName>
    <definedName name="sfh">[179]DropDownList!$D$1:$D$5</definedName>
    <definedName name="sgdhj">[0]!sgdhj</definedName>
    <definedName name="SHARES_NUM">[140]Расчеты!$B$23</definedName>
    <definedName name="shit" hidden="1">{"ÜBER mit FW","THU",FALSE,"HORE KORR!";"ÜBERSICHT",#N/A,FALSE,"BUDGET 1997_98";"ÜBER mit FW",#N/A,FALSE,"IST KUM KORR!!";"ÜBERSICHT",#N/A,FALSE,"PLAN KUM"}</definedName>
    <definedName name="Shops">#REF!</definedName>
    <definedName name="side">'[157]Dropdown list'!$E$2:$E$4</definedName>
    <definedName name="soft2" hidden="1">[19]опт!$A$8:$C$98</definedName>
    <definedName name="solver_adj" hidden="1">'[180]пр-во'!$X$11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'[180]пр-во'!$Z$14</definedName>
    <definedName name="solver_lhs2" hidden="1">'[180]пр-во'!$X$13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'[118]пр-во'!$AA$14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SS">#REF!</definedName>
    <definedName name="ST">#REF!</definedName>
    <definedName name="ST_BAL">#REF!,#REF!,#REF!,#REF!,#REF!,#REF!,#REF!,#REF!,#REF!,#REF!,#REF!,#REF!,#REF!,#REF!,#REF!,#REF!,#REF!,#REF!</definedName>
    <definedName name="Standard_Daily_Hours">#N/A</definedName>
    <definedName name="Std_Hrs">[0]!Weekday_count*[0]!Standard_Daily_Hours</definedName>
    <definedName name="STOCKS_PERIOD">#REF!</definedName>
    <definedName name="stoim_gar">#REF!</definedName>
    <definedName name="stoim_gar1">#REF!</definedName>
    <definedName name="STR_NAME">#REF!</definedName>
    <definedName name="SUBJ_RF_CODE">#REF!</definedName>
    <definedName name="submarkets">[181]Sheet2!$A$1:$A$15</definedName>
    <definedName name="summary2" hidden="1">{#N/A,#N/A,FALSE,"Aging Summary";#N/A,#N/A,FALSE,"Ratio Analysis";#N/A,#N/A,FALSE,"Test 120 Day Accts";#N/A,#N/A,FALSE,"Tickmarks"}</definedName>
    <definedName name="SVO">'[182]Стоим._стр-ва'!$C$6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">[63]Баланс95!#REF!</definedName>
    <definedName name="TABLE">#REF!</definedName>
    <definedName name="tanya" hidden="1">{#N/A,#N/A,FALSE,"Aging Summary";#N/A,#N/A,FALSE,"Ratio Analysis";#N/A,#N/A,FALSE,"Test 120 Day Accts";#N/A,#N/A,FALSE,"Tickmarks"}</definedName>
    <definedName name="Tax_In">#REF!</definedName>
    <definedName name="Tax_Pr">#REF!</definedName>
    <definedName name="Tax_TO">#REF!</definedName>
    <definedName name="Tax_VA">#REF!</definedName>
    <definedName name="TD">[63]Баланс95!#REF!</definedName>
    <definedName name="Template" hidden="1">#REF!</definedName>
    <definedName name="Terrace">#REF!</definedName>
    <definedName name="tertw" hidden="1">{#N/A,#N/A,FALSE,"Aging Summary";#N/A,#N/A,FALSE,"Ratio Analysis";#N/A,#N/A,FALSE,"Test 120 Day Accts";#N/A,#N/A,FALSE,"Tickmarks"}</definedName>
    <definedName name="test_list">#REF!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fyhjdtj">[0]!tfyhjdtj</definedName>
    <definedName name="th" hidden="1">{#N/A,#N/A,FALSE,"Aging Summary";#N/A,#N/A,FALSE,"Ratio Analysis";#N/A,#N/A,FALSE,"Test 120 Day Accts";#N/A,#N/A,FALSE,"Tickmarks"}</definedName>
    <definedName name="thjytdy">[0]!thjytdy</definedName>
    <definedName name="title">#REF!</definedName>
    <definedName name="tjutjutgjut">[0]!tjutjutgjut</definedName>
    <definedName name="TOTAL_GEXP_ROW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rtue">[0]!trertue</definedName>
    <definedName name="treuru">[0]!treuru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jtyjuty">[0]!trujtyjuty</definedName>
    <definedName name="trurtgf" hidden="1">{#N/A,#N/A,FALSE,"Aging Summary";#N/A,#N/A,FALSE,"Ratio Analysis";#N/A,#N/A,FALSE,"Test 120 Day Accts";#N/A,#N/A,FALSE,"Tickmarks"}</definedName>
    <definedName name="trutyit">[0]!trutyit</definedName>
    <definedName name="trutyutey">[0]!trutyutey</definedName>
    <definedName name="tryerturtu">[0]!tryerturtu</definedName>
    <definedName name="tryrutru">[0]!tryrutru</definedName>
    <definedName name="TSR">#REF!</definedName>
    <definedName name="TTT" hidden="1">{"'Grafik Kontrol'!$A$1:$J$8"}</definedName>
    <definedName name="ttttt" hidden="1">{"glc1",#N/A,FALSE,"GLC";"glc2",#N/A,FALSE,"GLC";"glc3",#N/A,FALSE,"GLC";"glc4",#N/A,FALSE,"GLC";"glc5",#N/A,FALSE,"GLC"}</definedName>
    <definedName name="tuerjyut">[0]!tuerjyut</definedName>
    <definedName name="tueru5eru">[0]!tueru5eru</definedName>
    <definedName name="tuetyurty">[0]!tuetyurty</definedName>
    <definedName name="tyiryirty">[0]!tyiryirty</definedName>
    <definedName name="tyjdty">[0]!tyjdty</definedName>
    <definedName name="tyjsdtr">[0]!tyjsdtr</definedName>
    <definedName name="Types">[141]Library!$B$2:$B$21</definedName>
    <definedName name="tyrujtjutgjy">[0]!tyrujtjutgjy</definedName>
    <definedName name="tyryutyju">[0]!tyryutyju</definedName>
    <definedName name="tytdkgt">[0]!tytdkgt</definedName>
    <definedName name="tyutryutu">[0]!tyutryutu</definedName>
    <definedName name="tyutyu">[0]!tyutyu</definedName>
    <definedName name="tyw45y7">[0]!tyw45y7</definedName>
    <definedName name="tyyuiry">[0]!tyyuiry</definedName>
    <definedName name="U" hidden="1">{"'Grafik Kontrol'!$A$1:$J$8"}</definedName>
    <definedName name="UD">#REF!</definedName>
    <definedName name="UGP">#REF!</definedName>
    <definedName name="ujapqkjduc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hidden="1">{"ÜBER mit FW","THU",FALSE,"HORE KORR!";"ÜBERSICHT",#N/A,FALSE,"BUDGET 1997_98";"ÜBER mit FW",#N/A,FALSE,"IST KUM KORR!!";"ÜBERSICHT",#N/A,FALSE,"PLAN KUM"}</definedName>
    <definedName name="ujhythgd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NDERGROUND_LEVELS">#REF!</definedName>
    <definedName name="Unit">#REF!</definedName>
    <definedName name="US_">[148]KEY!#REF!</definedName>
    <definedName name="USA">#REF!</definedName>
    <definedName name="USD">#REF!</definedName>
    <definedName name="utyuyrty">[0]!utyuyrty</definedName>
    <definedName name="uu" hidden="1">{#N/A,#N/A,TRUE,"Engineering Dept";#N/A,#N/A,TRUE,"Sales Dept";#N/A,#N/A,TRUE,"Marketing Dept";#N/A,#N/A,TRUE,"Admin Dept"}</definedName>
    <definedName name="uuu" hidden="1">'[118]пр-во'!$Y$14</definedName>
    <definedName name="uuuu">#REF!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_доп.об.">#REF!</definedName>
    <definedName name="V_доп.об._Сумм">#REF!</definedName>
    <definedName name="V_нефти">#REF!</definedName>
    <definedName name="vacancy">#REF!</definedName>
    <definedName name="vat">[177]Предпосылки!$E$123</definedName>
    <definedName name="VAT_REPAY">[140]Расчеты!$B$21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ossierSR" hidden="1">"DEMOSR.XLS"</definedName>
    <definedName name="vitaly" hidden="1">[6]RSOILBAL!#REF!</definedName>
    <definedName name="vjy" hidden="1">{"glc1",#N/A,FALSE,"GLC";"glc2",#N/A,FALSE,"GLC";"glc3",#N/A,FALSE,"GLC";"glc4",#N/A,FALSE,"GLC";"glc5",#N/A,FALSE,"GLC"}</definedName>
    <definedName name="VNbPerSR" hidden="1">5</definedName>
    <definedName name="VR">#REF!</definedName>
    <definedName name="vur" hidden="1">#REF!</definedName>
    <definedName name="vural" hidden="1">#REF!</definedName>
    <definedName name="vv" hidden="1">{"IASTrail",#N/A,FALSE,"IAS"}</definedName>
    <definedName name="Vдоп_Сдоп">#REF!</definedName>
    <definedName name="Vдоп_Сдоп_Сумм">#REF!</definedName>
    <definedName name="w" hidden="1">{"ÜBER mit FW","THU",FALSE,"HORE KORR!";"ÜBERSICHT",#N/A,FALSE,"BUDGET 1997_98";"ÜBER mit FW",#N/A,FALSE,"IST KUM KORR!!";"ÜBERSICHT",#N/A,FALSE,"PLAN KUM"}</definedName>
    <definedName name="WACC">#REF!</definedName>
    <definedName name="WE" hidden="1">{"'Grafik Kontrol'!$A$1:$J$8"}</definedName>
    <definedName name="Weekday_count">#N/A</definedName>
    <definedName name="wer" hidden="1">{#N/A,#N/A,FALSE,"Aging Summary";#N/A,#N/A,FALSE,"Ratio Analysis";#N/A,#N/A,FALSE,"Test 120 Day Accts";#N/A,#N/A,FALSE,"Tickmarks"}</definedName>
    <definedName name="werhrte">[0]!werhrte</definedName>
    <definedName name="werner" hidden="1">{"DRUCK",#N/A,FALSE,"HOCHRECHNUNG KORR!!!!";"DRUCK",#N/A,FALSE,"BUDGET 1997_98";"DRUCK",#N/A,FALSE,"PL KUM";"DRUCK",#N/A,FALSE,"VJ KUM";"DRUCK",#N/A,FALSE,"IST KUM KORR!!!"}</definedName>
    <definedName name="wert" hidden="1">{"glc1",#N/A,FALSE,"GLC";"glc2",#N/A,FALSE,"GLC";"glc3",#N/A,FALSE,"GLC";"glc4",#N/A,FALSE,"GLC";"glc5",#N/A,FALSE,"GLC"}</definedName>
    <definedName name="werw" hidden="1">{"Area1",#N/A,FALSE,"OREWACC";"Area2",#N/A,FALSE,"OREWACC"}</definedName>
    <definedName name="weyw" hidden="1">#REF!</definedName>
    <definedName name="WFT" hidden="1">{"Area1",#N/A,FALSE,"OREWACC";"Area2",#N/A,FALSE,"OREWACC"}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Compco._.Only." hidden="1">{"vi1",#N/A,FALSE,"6_30_96";"vi2",#N/A,FALSE,"6_30_96";"vi3",#N/A,FALSE,"6_30_96"}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hidden="1">{#N/A,#N/A,FALSE,"FA_1";#N/A,#N/A,FALSE,"Dep'n SE";#N/A,#N/A,FALSE,"Dep'n FC"}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aging._.Compco." hidden="1">{"financials",#N/A,TRUE,"6_30_96";"footnotes",#N/A,TRUE,"6_30_96";"valuation",#N/A,TRUE,"6_30_96"}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hidden="1">{"Area1",#N/A,FALSE,"OREWACC";"Area2",#N/A,FALSE,"OREWACC"}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hidden="1">{#N/A,#N/A,FALSE,"1996";#N/A,#N/A,FALSE,"1995";#N/A,#N/A,FALSE,"1994"}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правка._.для._.Отдела._.МС." hidden="1">{#VALUE!,#N/A,TRUE,0}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" hidden="1">{"Area1",#N/A,FALSE,"OREWACC";"Area2",#N/A,FALSE,"OREWACC"}</definedName>
    <definedName name="xcvfbf" hidden="1">{"'Sheet1'!$A$12:$K$107"}</definedName>
    <definedName name="xpr" hidden="1">{"Area1",#N/A,FALSE,"OREWACC";"Area2",#N/A,FALSE,"OREWACC"}</definedName>
    <definedName name="XREF_COLUMN_1" hidden="1">[183]трансформация1!#REF!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[183]трансформация1!#REF!</definedName>
    <definedName name="XRefCopy2Row" hidden="1">#REF!</definedName>
    <definedName name="XRefCopy3" hidden="1">[183]трансформация1!#REF!</definedName>
    <definedName name="XRefCopy3Row" hidden="1">#REF!</definedName>
    <definedName name="XRefCopyRangeCount" hidden="1">1</definedName>
    <definedName name="XRefPaste1" hidden="1">[183]трансформация1!#REF!</definedName>
    <definedName name="XRefPaste1Row" hidden="1">#REF!</definedName>
    <definedName name="XRefPaste2" hidden="1">[183]трансформация1!#REF!</definedName>
    <definedName name="XRefPaste2Row" hidden="1">#REF!</definedName>
    <definedName name="XRefPaste3" hidden="1">[183]трансформация1!#REF!</definedName>
    <definedName name="XRefPaste3Row" hidden="1">#REF!</definedName>
    <definedName name="XRefPaste4" hidden="1">[183]трансформация1!#REF!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">[184]константы!$C$7</definedName>
    <definedName name="yas" hidden="1">#REF!</definedName>
    <definedName name="yasin" hidden="1">#REF!</definedName>
    <definedName name="Years">[164]Reference!$G$91:$G$108</definedName>
    <definedName name="yhtgrfe" hidden="1">{"glc1",#N/A,FALSE,"GLC";"glc2",#N/A,FALSE,"GLC";"glc3",#N/A,FALSE,"GLC";"glc4",#N/A,FALSE,"GLC";"glc5",#N/A,FALSE,"GLC"}</definedName>
    <definedName name="yjdjt" hidden="1">#REF!</definedName>
    <definedName name="yqrew" hidden="1">{"glc1",#N/A,FALSE,"GLC";"glc2",#N/A,FALSE,"GLC";"glc3",#N/A,FALSE,"GLC";"glc4",#N/A,FALSE,"GLC";"glc5",#N/A,FALSE,"GLC"}</definedName>
    <definedName name="yriyuiy">[0]!yriyuiy</definedName>
    <definedName name="yt" hidden="1">{#N/A,#N/A,TRUE,"Буржуям"}</definedName>
    <definedName name="ytyiry">[0]!ytyiry</definedName>
    <definedName name="yutrytr">[0]!yutrytr</definedName>
    <definedName name="YYY" hidden="1">{"'Grafik Kontrol'!$A$1:$J$8"}</definedName>
    <definedName name="z" hidden="1">{"Output-Min",#N/A,FALSE,"Output"}</definedName>
    <definedName name="Z_0595F038_10C1_11D1_BBF1_0020AF29375F_.wvu.Cols" hidden="1">'[185]ECONOMIC DATA'!$D$1:$F$65536,'[185]ECONOMIC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'[185]TRAFFIC CALC'!$D$1:$F$65536,'[185]TRAFFIC CALC'!#REF!</definedName>
    <definedName name="Z_0595F048_10C1_11D1_BBF1_0020AF29375F_.wvu.Cols" hidden="1">'[185]TRAFFIC PARM'!$D$1:$F$65536,'[185]TRAFFIC PARM'!#REF!</definedName>
    <definedName name="Z_0595F050_10C1_11D1_BBF1_0020AF29375F_.wvu.Cols" hidden="1">'[185]ECONOMIC DATA'!$A$1:$C$65536,'[185]ECONOMIC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'[185]TRAFFIC CALC'!$A$1:$C$65536,'[185]TRAFFIC CALC'!#REF!</definedName>
    <definedName name="Z_0595F060_10C1_11D1_BBF1_0020AF29375F_.wvu.Cols" hidden="1">'[185]TRAFFIC PARM'!$A$1:$C$65536,'[185]TRAFFIC PARM'!#REF!</definedName>
    <definedName name="Z_195152F2_E1B3_11D0_BBF1_0020AF29375F_.wvu.Cols" hidden="1">'[185]ECONOMIC DATA'!$D$1:$F$65536,'[185]ECONOMIC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'[185]TRAFFIC CALC'!$D$1:$F$65536,'[185]TRAFFIC CALC'!#REF!</definedName>
    <definedName name="Z_19515302_E1B3_11D0_BBF1_0020AF29375F_.wvu.Cols" hidden="1">'[185]TRAFFIC PARM'!$D$1:$F$65536,'[185]TRAFFIC PARM'!#REF!</definedName>
    <definedName name="Z_1951530A_E1B3_11D0_BBF1_0020AF29375F_.wvu.Cols" hidden="1">'[185]ECONOMIC DATA'!$A$1:$C$65536,'[185]ECONOMIC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'[185]TRAFFIC CALC'!$A$1:$C$65536,'[185]TRAFFIC CALC'!#REF!</definedName>
    <definedName name="Z_1951531A_E1B3_11D0_BBF1_0020AF29375F_.wvu.Cols" hidden="1">'[185]TRAFFIC PARM'!$A$1:$C$65536,'[185]TRAFFIC PARM'!#REF!</definedName>
    <definedName name="Z_1C3AD0CD_BF0C_4C4E_9071_158A2F5215E2_.wvu.Rows" hidden="1">#REF!,#REF!,#REF!</definedName>
    <definedName name="Z_2185FC51_7502_43A8_900A_0000B7F738F9_.wvu.Rows" hidden="1">[186]Forecast!$A$26:$IV$29,[186]Forecast!$A$35:$IV$36,[186]Forecast!$A$52:$IV$52,[186]Forecast!$A$56:$IV$60,[186]Forecast!$A$93:$IV$95,[186]Forecast!$A$106:$IV$114,[186]Forecast!$A$119:$IV$120,[186]Forecast!$A$123:$IV$124,[186]Forecast!$A$189:$IV$189,[186]Forecast!$A$254:$IV$254,[186]Forecast!$A$258:$IV$267,[186]Forecast!$A$270:$IV$271,[186]Forecast!$A$273:$IV$313,[186]Forecast!$A$317:$IV$318,[186]Forecast!$A$322:$IV$327,[186]Forecast!$A$339:$IV$339</definedName>
    <definedName name="Z_26901781_AE15_11D3_8896_00C0DFEF98F1_.wvu.PrintArea" hidden="1">'[180]Свод-1'!$A:$IV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567F6202_70FA_11D3_B82E_00E09800249C_.wvu.Cols" hidden="1">[187]Лист2!#REF!</definedName>
    <definedName name="Z_6EE4AFEA_8A42_11D0_BBF1_0020AF29375F_.wvu.Cols" hidden="1">'[185]ECONOMIC DATA'!$D$1:$F$65536,'[185]ECONOMIC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'[185]TRAFFIC CALC'!$D$1:$F$65536,'[185]TRAFFIC CALC'!#REF!</definedName>
    <definedName name="Z_6EE4AFFA_8A42_11D0_BBF1_0020AF29375F_.wvu.Cols" hidden="1">'[185]TRAFFIC PARM'!$D$1:$F$65536,'[185]TRAFFIC PARM'!#REF!</definedName>
    <definedName name="Z_6EE4B002_8A42_11D0_BBF1_0020AF29375F_.wvu.Cols" hidden="1">'[185]ECONOMIC DATA'!$A$1:$C$65536,'[185]ECONOMIC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'[185]TRAFFIC CALC'!$A$1:$C$65536,'[185]TRAFFIC CALC'!#REF!</definedName>
    <definedName name="Z_6EE4B012_8A42_11D0_BBF1_0020AF29375F_.wvu.Cols" hidden="1">'[185]TRAFFIC PARM'!$A$1:$C$65536,'[185]TRAFFIC PARM'!#REF!</definedName>
    <definedName name="Z_8730C1A1_E63D_11D4_8D95_0050BA8310F8_.wvu.Cols" hidden="1">#REF!</definedName>
    <definedName name="Z_9208C872_C6DF_11D0_B623_0020AF49B783_.wvu.Cols" hidden="1">'[185]ECONOMIC DATA'!$D$1:$F$65536,'[185]ECONOMIC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'[185]TRAFFIC CALC'!$D$1:$F$65536,'[185]TRAFFIC CALC'!#REF!</definedName>
    <definedName name="Z_9208C882_C6DF_11D0_B623_0020AF49B783_.wvu.Cols" hidden="1">'[185]TRAFFIC PARM'!$D$1:$F$65536,'[185]TRAFFIC PARM'!#REF!</definedName>
    <definedName name="Z_9208C88A_C6DF_11D0_B623_0020AF49B783_.wvu.Cols" hidden="1">'[185]ECONOMIC DATA'!$A$1:$C$65536,'[185]ECONOMIC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'[185]TRAFFIC CALC'!$A$1:$C$65536,'[185]TRAFFIC CALC'!#REF!</definedName>
    <definedName name="Z_9208C89A_C6DF_11D0_B623_0020AF49B783_.wvu.Cols" hidden="1">'[185]TRAFFIC PARM'!$A$1:$C$65536,'[185]TRAFFIC PARM'!#REF!</definedName>
    <definedName name="Z_92F7E099_0E3C_11D1_BBF1_0020AF29375F_.wvu.Cols" hidden="1">'[185]ECONOMIC DATA'!$D$1:$F$65536,'[185]ECONOMIC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'[185]TRAFFIC CALC'!$D$1:$F$65536,'[185]TRAFFIC CALC'!#REF!</definedName>
    <definedName name="Z_92F7E0A9_0E3C_11D1_BBF1_0020AF29375F_.wvu.Cols" hidden="1">'[185]TRAFFIC PARM'!$D$1:$F$65536,'[185]TRAFFIC PARM'!#REF!</definedName>
    <definedName name="Z_92F7E0B1_0E3C_11D1_BBF1_0020AF29375F_.wvu.Cols" hidden="1">'[185]ECONOMIC DATA'!$A$1:$C$65536,'[185]ECONOMIC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'[185]TRAFFIC CALC'!$A$1:$C$65536,'[185]TRAFFIC CALC'!#REF!</definedName>
    <definedName name="Z_92F7E0C1_0E3C_11D1_BBF1_0020AF29375F_.wvu.Cols" hidden="1">'[185]TRAFFIC PARM'!$A$1:$C$65536,'[185]TRAFFIC PARM'!#REF!</definedName>
    <definedName name="Z_94CB185F_509A_11D3_B82B_00E09800249C_.wvu.Rows" hidden="1">[188]Продажи!$A$5:$IV$5,[188]Продажи!$A$18:$IV$18</definedName>
    <definedName name="Z_9673D06C_8E2D_4E41_BE89_13756C9C3BAE_.wvu.PrintArea" hidden="1">#REF!</definedName>
    <definedName name="Z_96AA1B52_E178_11D0_BBF1_0020AF29375F_.wvu.Cols" hidden="1">'[185]ECONOMIC DATA'!$D$1:$F$65536,'[185]ECONOMIC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'[185]TRAFFIC CALC'!$D$1:$F$65536,'[185]TRAFFIC CALC'!#REF!</definedName>
    <definedName name="Z_96AA1B62_E178_11D0_BBF1_0020AF29375F_.wvu.Cols" hidden="1">'[185]TRAFFIC PARM'!$D$1:$F$65536,'[185]TRAFFIC PARM'!#REF!</definedName>
    <definedName name="Z_96AA1B6A_E178_11D0_BBF1_0020AF29375F_.wvu.Cols" hidden="1">'[185]ECONOMIC DATA'!$A$1:$C$65536,'[185]ECONOMIC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'[185]TRAFFIC CALC'!$A$1:$C$65536,'[185]TRAFFIC CALC'!#REF!</definedName>
    <definedName name="Z_96AA1B7A_E178_11D0_BBF1_0020AF29375F_.wvu.Cols" hidden="1">'[185]TRAFFIC PARM'!$A$1:$C$65536,'[185]TRAFFIC PARM'!#REF!</definedName>
    <definedName name="Z_99D15F62_90C4_405A_985F_7C185F19F985_.wvu.Rows" hidden="1">[186]Forecast!$A$26:$IV$29,[186]Forecast!$A$35:$IV$36,[186]Forecast!$A$52:$IV$52,[186]Forecast!$A$56:$IV$60,[186]Forecast!$A$93:$IV$95,[186]Forecast!$A$106:$IV$114,[186]Forecast!$A$119:$IV$120,[186]Forecast!$A$123:$IV$124,[186]Forecast!$A$189:$IV$189,[186]Forecast!$A$254:$IV$254,[186]Forecast!$A$258:$IV$267,[186]Forecast!$A$270:$IV$271,[186]Forecast!$A$273:$IV$313,[186]Forecast!$A$317:$IV$318,[186]Forecast!$A$322:$IV$327,[186]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'[185]ECONOMIC DATA'!$D$1:$F$65536,'[185]ECONOMIC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'[185]TRAFFIC CALC'!$D$1:$F$65536,'[185]TRAFFIC CALC'!#REF!</definedName>
    <definedName name="Z_AD1AC27D_B0C2_11D0_BBF1_0020AF29375F_.wvu.Cols" hidden="1">'[185]TRAFFIC PARM'!$D$1:$F$65536,'[185]TRAFFIC PARM'!#REF!</definedName>
    <definedName name="Z_AD1AC285_B0C2_11D0_BBF1_0020AF29375F_.wvu.Cols" hidden="1">'[185]ECONOMIC DATA'!$A$1:$C$65536,'[185]ECONOMIC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'[185]TRAFFIC CALC'!$A$1:$C$65536,'[185]TRAFFIC CALC'!#REF!</definedName>
    <definedName name="Z_AD1AC295_B0C2_11D0_BBF1_0020AF29375F_.wvu.Cols" hidden="1">'[185]TRAFFIC PARM'!$A$1:$C$65536,'[185]TRAFFIC PARM'!#REF!</definedName>
    <definedName name="Z_BA328375_936C_11D3_9E74_00062992D5D9_.wvu.Rows" hidden="1">[188]Продажи!$A$5:$IV$5,[188]Продажи!$A$18:$IV$18</definedName>
    <definedName name="Z_C0A63332_F77B_11D0_B623_0020AF49B783_.wvu.Cols" hidden="1">'[185]ECONOMIC DATA'!$D$1:$F$65536,'[185]ECONOMIC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'[185]TRAFFIC CALC'!$D$1:$F$65536,'[185]TRAFFIC CALC'!#REF!</definedName>
    <definedName name="Z_C0A63342_F77B_11D0_B623_0020AF49B783_.wvu.Cols" hidden="1">'[185]TRAFFIC PARM'!$D$1:$F$65536,'[185]TRAFFIC PARM'!#REF!</definedName>
    <definedName name="Z_C0A6334A_F77B_11D0_B623_0020AF49B783_.wvu.Cols" hidden="1">'[185]ECONOMIC DATA'!$A$1:$C$65536,'[185]ECONOMIC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'[185]TRAFFIC CALC'!$A$1:$C$65536,'[185]TRAFFIC CALC'!#REF!</definedName>
    <definedName name="Z_C0A6335A_F77B_11D0_B623_0020AF49B783_.wvu.Cols" hidden="1">'[185]TRAFFIC PARM'!$A$1:$C$65536,'[185]TRAFFIC PARM'!#REF!</definedName>
    <definedName name="Z_CB1D7872_F78D_11D0_B623_0020AF49B783_.wvu.Cols" hidden="1">'[185]ECONOMIC DATA'!$D$1:$F$65536,'[185]ECONOMIC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'[185]TRAFFIC CALC'!$D$1:$F$65536,'[185]TRAFFIC CALC'!#REF!</definedName>
    <definedName name="Z_CB1D7882_F78D_11D0_B623_0020AF49B783_.wvu.Cols" hidden="1">'[185]TRAFFIC PARM'!$D$1:$F$65536,'[185]TRAFFIC PARM'!#REF!</definedName>
    <definedName name="Z_CB1D788A_F78D_11D0_B623_0020AF49B783_.wvu.Cols" hidden="1">'[185]ECONOMIC DATA'!$A$1:$C$65536,'[185]ECONOMIC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'[185]TRAFFIC CALC'!$A$1:$C$65536,'[185]TRAFFIC CALC'!#REF!</definedName>
    <definedName name="Z_CB1D789A_F78D_11D0_B623_0020AF49B783_.wvu.Cols" hidden="1">'[185]TRAFFIC PARM'!$A$1:$C$65536,'[185]TRAFFIC PARM'!#REF!</definedName>
    <definedName name="Z_CB1D7A38_F78D_11D0_B623_0020AF49B783_.wvu.Cols" hidden="1">'[185]ECONOMIC DATA'!$D$1:$F$65536,'[185]ECONOMIC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'[185]TRAFFIC CALC'!$D$1:$F$65536,'[185]TRAFFIC CALC'!#REF!</definedName>
    <definedName name="Z_CB1D7A48_F78D_11D0_B623_0020AF49B783_.wvu.Cols" hidden="1">'[185]TRAFFIC PARM'!$D$1:$F$65536,'[185]TRAFFIC PARM'!#REF!</definedName>
    <definedName name="Z_CB1D7A50_F78D_11D0_B623_0020AF49B783_.wvu.Cols" hidden="1">'[185]ECONOMIC DATA'!$A$1:$C$65536,'[185]ECONOMIC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'[185]TRAFFIC CALC'!$A$1:$C$65536,'[185]TRAFFIC CALC'!#REF!</definedName>
    <definedName name="Z_CB1D7A60_F78D_11D0_B623_0020AF49B783_.wvu.Cols" hidden="1">'[185]TRAFFIC PARM'!$A$1:$C$65536,'[185]TRAFFIC PARM'!#REF!</definedName>
    <definedName name="Z_CB8A7D86_8A72_11D0_BBF1_0020AF29375F_.wvu.Cols" hidden="1">'[185]ECONOMIC DATA'!$D$1:$F$65536,'[185]ECONOMIC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'[185]TRAFFIC CALC'!$D$1:$F$65536,'[185]TRAFFIC CALC'!#REF!</definedName>
    <definedName name="Z_CB8A7D96_8A72_11D0_BBF1_0020AF29375F_.wvu.Cols" hidden="1">'[185]TRAFFIC PARM'!$D$1:$F$65536,'[185]TRAFFIC PARM'!#REF!</definedName>
    <definedName name="Z_CB8A7D9E_8A72_11D0_BBF1_0020AF29375F_.wvu.Cols" hidden="1">'[185]ECONOMIC DATA'!$A$1:$C$65536,'[185]ECONOMIC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'[185]TRAFFIC CALC'!$A$1:$C$65536,'[185]TRAFFIC CALC'!#REF!</definedName>
    <definedName name="Z_CB8A7DAE_8A72_11D0_BBF1_0020AF29375F_.wvu.Cols" hidden="1">'[185]TRAFFIC PARM'!$A$1:$C$65536,'[185]TRAFFIC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'[185]ECONOMIC DATA'!$D$1:$F$65536,'[185]ECONOMIC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'[185]TRAFFIC CALC'!$D$1:$F$65536,'[185]TRAFFIC CALC'!#REF!</definedName>
    <definedName name="Z_D2C4351A_8B21_11D0_BBF1_0020AF29375F_.wvu.Cols" hidden="1">'[185]TRAFFIC PARM'!$D$1:$F$65536,'[185]TRAFFIC PARM'!#REF!</definedName>
    <definedName name="Z_D2C43522_8B21_11D0_BBF1_0020AF29375F_.wvu.Cols" hidden="1">'[185]ECONOMIC DATA'!$A$1:$C$65536,'[185]ECONOMIC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'[185]TRAFFIC CALC'!$A$1:$C$65536,'[185]TRAFFIC CALC'!#REF!</definedName>
    <definedName name="Z_D2C43532_8B21_11D0_BBF1_0020AF29375F_.wvu.Cols" hidden="1">'[185]TRAFFIC PARM'!$A$1:$C$65536,'[185]TRAFFIC PARM'!#REF!</definedName>
    <definedName name="Z_DF5C41E4_E0D7_11D0_BBF1_0020AF29375F_.wvu.Cols" hidden="1">'[185]ECONOMIC DATA'!$D$1:$F$65536,'[185]ECONOMIC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'[185]TRAFFIC CALC'!$D$1:$F$65536,'[185]TRAFFIC CALC'!#REF!</definedName>
    <definedName name="Z_DF5C41F4_E0D7_11D0_BBF1_0020AF29375F_.wvu.Cols" hidden="1">'[185]TRAFFIC PARM'!$D$1:$F$65536,'[185]TRAFFIC PARM'!#REF!</definedName>
    <definedName name="Z_DF5C41FC_E0D7_11D0_BBF1_0020AF29375F_.wvu.Cols" hidden="1">'[185]ECONOMIC DATA'!$A$1:$C$65536,'[185]ECONOMIC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'[185]TRAFFIC CALC'!$A$1:$C$65536,'[185]TRAFFIC CALC'!#REF!</definedName>
    <definedName name="Z_DF5C420C_E0D7_11D0_BBF1_0020AF29375F_.wvu.Cols" hidden="1">'[185]TRAFFIC PARM'!$A$1:$C$65536,'[185]TRAFFIC PARM'!#REF!</definedName>
    <definedName name="Z_DF9ECF1C_04DF_11D1_B623_0020AF49B783_.wvu.Cols" hidden="1">'[185]ECONOMIC DATA'!$D$1:$F$65536,'[185]ECONOMIC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'[185]TRAFFIC CALC'!$D$1:$F$65536,'[185]TRAFFIC CALC'!#REF!</definedName>
    <definedName name="Z_DF9ECF2C_04DF_11D1_B623_0020AF49B783_.wvu.Cols" hidden="1">'[185]TRAFFIC PARM'!$D$1:$F$65536,'[185]TRAFFIC PARM'!#REF!</definedName>
    <definedName name="Z_DF9ECF34_04DF_11D1_B623_0020AF49B783_.wvu.Cols" hidden="1">'[185]ECONOMIC DATA'!$A$1:$C$65536,'[185]ECONOMIC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'[185]TRAFFIC CALC'!$A$1:$C$65536,'[185]TRAFFIC CALC'!#REF!</definedName>
    <definedName name="Z_DF9ECF44_04DF_11D1_B623_0020AF49B783_.wvu.Cols" hidden="1">'[185]TRAFFIC PARM'!$A$1:$C$65536,'[185]TRAFFIC PARM'!#REF!</definedName>
    <definedName name="Z_FA0D2A17_1C02_11D8_848D_00021BF19BDB_.wvu.FilterData" hidden="1">#REF!</definedName>
    <definedName name="Z_FB25C028_80C5_49E2_A786_1894E89AE1AD_.wvu.Rows" hidden="1">[19]опт!$A$57:$IV$72</definedName>
    <definedName name="zdfb" hidden="1">#REF!</definedName>
    <definedName name="ZI">#REF!</definedName>
    <definedName name="ZIM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1">[21]Титул!$A$1</definedName>
    <definedName name="А3">#REF!</definedName>
    <definedName name="а5">[21]Ф5!$A$1</definedName>
    <definedName name="а6">[21]Ф6!$A$1</definedName>
    <definedName name="аL159">#REF!</definedName>
    <definedName name="аа">[22]Характеристика!$E$3</definedName>
    <definedName name="ааа" hidden="1">{#N/A,#N/A,FALSE,"Aging Summary";#N/A,#N/A,FALSE,"Ratio Analysis";#N/A,#N/A,FALSE,"Test 120 Day Accts";#N/A,#N/A,FALSE,"Tickmarks"}</definedName>
    <definedName name="аааа">#REF!</definedName>
    <definedName name="аааа2" hidden="1">{#N/A,#N/A,TRUE,"Буржуям"}</definedName>
    <definedName name="ааааа" hidden="1">{"'РП (2)'!$A$5:$S$150"}</definedName>
    <definedName name="ааааа2" hidden="1">{#N/A,#N/A,TRUE,"Буржуям"}</definedName>
    <definedName name="ааааааа" hidden="1">{#N/A,#N/A,TRUE,"Буржуям"}</definedName>
    <definedName name="ааааааааа" hidden="1">{"'Sheet1'!$A$1:$G$85"}</definedName>
    <definedName name="ААААААААААА" hidden="1">{#N/A,#N/A,TRUE,"Буржуям"}</definedName>
    <definedName name="АААВВВ" hidden="1">{#N/A,#N/A,TRUE,"Буржуям"}</definedName>
    <definedName name="ав">#REF!</definedName>
    <definedName name="Ав_ос">[4]Лист1!$F$16</definedName>
    <definedName name="ав1">#REF!</definedName>
    <definedName name="ав2">#REF!</definedName>
    <definedName name="аванс">[4]MACRO!#REF!</definedName>
    <definedName name="аванс_01">[4]Поступления!#REF!</definedName>
    <definedName name="аванс_02">'[4]Хран сах '!$F$27</definedName>
    <definedName name="аванс_03">'[4]Хран сах '!$F$71</definedName>
    <definedName name="аванс_2000">'[4]Хран сах '!#REF!</definedName>
    <definedName name="аванс_2001">'[4]Хран сах '!#REF!</definedName>
    <definedName name="Аванс_деньги">[4]Поступления!#REF!</definedName>
    <definedName name="Аванс_квота">[4]Поступления!$F$53</definedName>
    <definedName name="аванс_мат">[4]Лист1!$F$117</definedName>
    <definedName name="Аванс_передача">[4]Поступления!#REF!</definedName>
    <definedName name="аванс_тов">[4]MACRO!$F$12</definedName>
    <definedName name="аванс_усл">[4]Поступления!$F$86</definedName>
    <definedName name="авансы">[4]Льгов!$F$43</definedName>
    <definedName name="авансы_уплаченные_дол">[4]Лист1!#REF!</definedName>
    <definedName name="авансы_уплаченные_РСК">[4]Лист1!#REF!</definedName>
    <definedName name="авансы_уплаченные_РСК_дол">[4]Лист1!#REF!</definedName>
    <definedName name="авантов">[4]Лист1!$F$27</definedName>
    <definedName name="аванусл">[4]Лист1!$F$93</definedName>
    <definedName name="авва">#REF!</definedName>
    <definedName name="аввавав" hidden="1">[23]MAIN!#REF!</definedName>
    <definedName name="АВВАВАВАВА" hidden="1">{#N/A,#N/A,TRUE,"Буржуям"}</definedName>
    <definedName name="авг">'[4]Инвест.план к БДДС'!$I$12</definedName>
    <definedName name="авг03гр">#REF!</definedName>
    <definedName name="авг03руб.">#REF!</definedName>
    <definedName name="авг03рубб">'[24]Сводная ЛССМУ'!$DE$39</definedName>
    <definedName name="авг03у.е.">#REF!</definedName>
    <definedName name="авг04гр">#REF!</definedName>
    <definedName name="авг04руб">#REF!</definedName>
    <definedName name="авг04у.е.">#REF!</definedName>
    <definedName name="август" hidden="1">{#N/A,#N/A,TRUE,"Буржуям"}</definedName>
    <definedName name="авиываирв">[0]!авиываирв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репар">[0]!аврепар</definedName>
    <definedName name="АВС" hidden="1">#REF!</definedName>
    <definedName name="автоматы">#REF!</definedName>
    <definedName name="Автотехника" hidden="1">{#VALUE!,#N/A,TRUE,0}</definedName>
    <definedName name="авфвап">[0]!авфвап</definedName>
    <definedName name="авы">'[25]1'!$K$1</definedName>
    <definedName name="авыа">[0]!авыа</definedName>
    <definedName name="Агр_02">[4]Лист1!#REF!</definedName>
    <definedName name="Агр_03">[4]Лист1!#REF!</definedName>
    <definedName name="агро">[4]Лист1!#REF!</definedName>
    <definedName name="агрокоинвест">[4]Лист1!$J$64</definedName>
    <definedName name="агшененг">[0]!агшененг</definedName>
    <definedName name="адр_5_1">#REF!</definedName>
    <definedName name="адр_5_2">#REF!</definedName>
    <definedName name="адр_5_3">#REF!</definedName>
    <definedName name="адр_6_1">#REF!</definedName>
    <definedName name="адрес">[26]СВОДНАЯ!$B$11</definedName>
    <definedName name="Адрес_п">#REF!</definedName>
    <definedName name="Адрес_полный">#REF!</definedName>
    <definedName name="аелор">[0]!аелор</definedName>
    <definedName name="аен">[0]!аен</definedName>
    <definedName name="аеналепал">[0]!аеналепал</definedName>
    <definedName name="аенепгнп">[0]!аенепгнп</definedName>
    <definedName name="аеонвен">[0]!аеонвен</definedName>
    <definedName name="аере">[0]!аере</definedName>
    <definedName name="аереон">[0]!аереон</definedName>
    <definedName name="АЗ">[4]Лист1!$AB$89</definedName>
    <definedName name="акенг">[0]!акенг</definedName>
    <definedName name="аковопро">[0]!аковопро</definedName>
    <definedName name="акпеоако" hidden="1">{"'Prices'!$A$4:$J$27"}</definedName>
    <definedName name="Акциз">#REF!</definedName>
    <definedName name="Акциз1">#REF!</definedName>
    <definedName name="Акции">'[4]Хран сах '!$F$492</definedName>
    <definedName name="алпа">[0]!Weekday_count*[0]!Standard_Daily_Hours</definedName>
    <definedName name="Алтай_пш_3">[4]Лист1!$K$32</definedName>
    <definedName name="Алтай_пш_3_неопл">[4]Лист1!$L$32</definedName>
    <definedName name="Алтай_пш_3_своб">[4]Лист1!$I$32</definedName>
    <definedName name="амтьо">[0]!амтьо</definedName>
    <definedName name="АН">'[4]Хран сах '!#REF!</definedName>
    <definedName name="ангпа">[0]!ангпа</definedName>
    <definedName name="ангшщгш">[0]!ангшщгш</definedName>
    <definedName name="андгшдпг">[0]!андгшдпг</definedName>
    <definedName name="анлднгдгш">[0]!анлднгдгш</definedName>
    <definedName name="анпа">[0]!анпа</definedName>
    <definedName name="анрпа">[0]!анрпа</definedName>
    <definedName name="аншаншан">[0]!аншаншан</definedName>
    <definedName name="аншднгшдгшд">[0]!аншднгшдгшд</definedName>
    <definedName name="аншрлдрголшд">[0]!аншрлдрголшд</definedName>
    <definedName name="аоаопо">[0]!аоаопо</definedName>
    <definedName name="аоарапа" hidden="1">{"glc1",#N/A,FALSE,"GLC";"glc2",#N/A,FALSE,"GLC";"glc3",#N/A,FALSE,"GLC";"glc4",#N/A,FALSE,"GLC";"glc5",#N/A,FALSE,"GLC"}</definedName>
    <definedName name="аовео">[0]!аовео</definedName>
    <definedName name="аовыпарв">[0]!аовыпарв</definedName>
    <definedName name="аопаров">[0]!аопаров</definedName>
    <definedName name="аопаропо">[0]!аопаропо</definedName>
    <definedName name="аопренке">[0]!аопренке</definedName>
    <definedName name="ап" hidden="1">{"'Prices'!$A$4:$J$27"}</definedName>
    <definedName name="ап1">#REF!</definedName>
    <definedName name="ап2">#REF!</definedName>
    <definedName name="апавп">[4]Лист1!$I$2</definedName>
    <definedName name="АПАПАПА" hidden="1">{#N/A,#N/A,TRUE,"Буржуям"}</definedName>
    <definedName name="АПАПАПАП" hidden="1">{#N/A,#N/A,TRUE,"Буржуям"}</definedName>
    <definedName name="апапапапапа" hidden="1">{"glc1",#N/A,FALSE,"GLC";"glc2",#N/A,FALSE,"GLC";"glc3",#N/A,FALSE,"GLC";"glc4",#N/A,FALSE,"GLC";"glc5",#N/A,FALSE,"GLC"}</definedName>
    <definedName name="апнроен">[0]!апнроен</definedName>
    <definedName name="аповеноев">[0]!аповеноев</definedName>
    <definedName name="апп">[0]!апп</definedName>
    <definedName name="апппппппппппп" hidden="1">{"'Sheet1'!$A$1:$G$85"}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03гр">#REF!</definedName>
    <definedName name="апр03руб.">#REF!</definedName>
    <definedName name="апр03у.е.">#REF!</definedName>
    <definedName name="апр04гр">#REF!</definedName>
    <definedName name="апр04руб.">#REF!</definedName>
    <definedName name="апр04у.е.">#REF!</definedName>
    <definedName name="апрапва">[0]!апрапва</definedName>
    <definedName name="апрара">[0]!апрара</definedName>
    <definedName name="апрарпыв">[0]!апрарпыв</definedName>
    <definedName name="апрврв">[0]!апрврв</definedName>
    <definedName name="апрель" hidden="1">{#N/A,#N/A,TRUE,"Буржуям"}</definedName>
    <definedName name="апровпо">[0]!апровпо</definedName>
    <definedName name="апрфыкп">[0]!апрфыкп</definedName>
    <definedName name="апрыав">[0]!апрыав</definedName>
    <definedName name="апрыара">[0]!апрыара</definedName>
    <definedName name="апрыо">[0]!апрыо</definedName>
    <definedName name="апрырыар">[0]!апрырыар</definedName>
    <definedName name="аптопопо">[0]!аптопопо</definedName>
    <definedName name="апфвапва">[0]!апфвапва</definedName>
    <definedName name="ар">'[27]исход-итог'!$C$2</definedName>
    <definedName name="Ар.ан">#REF!</definedName>
    <definedName name="Ар.С" hidden="1">#REF!</definedName>
    <definedName name="ар_ставка_офис" hidden="1">{"Inflation-BaseYear",#N/A,FALSE,"Inputs"}</definedName>
    <definedName name="ар3" hidden="1">{"assets",#N/A,FALSE,"historicBS";"liab",#N/A,FALSE,"historicBS";"is",#N/A,FALSE,"historicIS";"ratios",#N/A,FALSE,"ratios"}</definedName>
    <definedName name="арапл">#REF!</definedName>
    <definedName name="арараер">[0]!арараер</definedName>
    <definedName name="арарара" hidden="1">{"glc1",#N/A,FALSE,"GLC";"glc2",#N/A,FALSE,"GLC";"glc3",#N/A,FALSE,"GLC";"glc4",#N/A,FALSE,"GLC";"glc5",#N/A,FALSE,"GLC"}</definedName>
    <definedName name="арарппр">[0]!арарппр</definedName>
    <definedName name="араырвап">[0]!араырвап</definedName>
    <definedName name="арвкек">[0]!арвкек</definedName>
    <definedName name="аренда">[0]!аренда</definedName>
    <definedName name="аренда2">#REF!</definedName>
    <definedName name="Арендная_ставка">#REF!</definedName>
    <definedName name="Арендная_ставка_за_торговое_место____место_день">'[28]Метод остатка'!#REF!</definedName>
    <definedName name="арерр">[0]!арерр</definedName>
    <definedName name="ариври">#REF!</definedName>
    <definedName name="ароаровао">[0]!ароаровао</definedName>
    <definedName name="аровелн">[0]!аровелн</definedName>
    <definedName name="аропо">[0]!аропо</definedName>
    <definedName name="аррап" hidden="1">{#N/A,#N/A,FALSE,"Aging Summary";#N/A,#N/A,FALSE,"Ratio Analysis";#N/A,#N/A,FALSE,"Test 120 Day Accts";#N/A,#N/A,FALSE,"Tickmarks"}</definedName>
    <definedName name="аррвар">[0]!аррвар</definedName>
    <definedName name="аррп">[0]!аррп</definedName>
    <definedName name="арс">#REF!</definedName>
    <definedName name="АРСТ">[29]НФИк!$A$17</definedName>
    <definedName name="арт">#REF!</definedName>
    <definedName name="арыарыа">[0]!арыарыа</definedName>
    <definedName name="ассорт">'[4]Фин. вложения'!#REF!</definedName>
    <definedName name="атр">[4]Лист1!#REF!</definedName>
    <definedName name="АУР_пл">[4]Лист1!#REF!</definedName>
    <definedName name="АУР_РУ">#REF!</definedName>
    <definedName name="АУР_тек">[4]Лист1!$K$205</definedName>
    <definedName name="аур_уфа">[4]Лист1!#REF!</definedName>
    <definedName name="афвапп">[0]!афвапп</definedName>
    <definedName name="афваппва">[0]!афваппва</definedName>
    <definedName name="афпакукпк">[0]!афпакукпк</definedName>
    <definedName name="ашншнш">[0]!ашншнш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'[30]касса-казань-декабрь'!$A$1:$I$24</definedName>
    <definedName name="База_Сортировки">#REF!</definedName>
    <definedName name="байк.руб.">'[31]Гр+'!#REF!</definedName>
    <definedName name="байк.у.е.">'[31]Гр+'!#REF!</definedName>
    <definedName name="бакс">[32]Характеристика!$D$2</definedName>
    <definedName name="бал">#REF!</definedName>
    <definedName name="Бал2002" hidden="1">{#N/A,#N/A,TRUE,"Буржуям"}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hidden="1">{#VALUE!,#N/A,TRUE,0}</definedName>
    <definedName name="БалКК">[33]ЛитБ!$G$351</definedName>
    <definedName name="балконы">#REF!</definedName>
    <definedName name="банк" hidden="1">{#N/A,#N/A,TRUE,"Буржуям"}</definedName>
    <definedName name="батареи">#REF!</definedName>
    <definedName name="ббб" hidden="1">{"NWN_Q1810",#N/A,FALSE,"Q1810_1.V";"NWN_Q1412",#N/A,FALSE,"Q1412_1"}</definedName>
    <definedName name="бббб" hidden="1">{#VALUE!,#N/A,TRUE,0}</definedName>
    <definedName name="бд">#REF!</definedName>
    <definedName name="БД_сег">[4]Лист1!#REF!</definedName>
    <definedName name="бдр" hidden="1">{"'РП (2)'!$A$5:$S$150"}</definedName>
    <definedName name="Бел_пес">[4]Хотмыжск!#REF!</definedName>
    <definedName name="Белгород_03">[4]Лист1!#REF!</definedName>
    <definedName name="Белгород_ячм_неопл">[4]Лист1!$L$127</definedName>
    <definedName name="белгород_ячм_своб">[4]Лист1!$I$127</definedName>
    <definedName name="Белгород_ячмень">[4]Лист1!$K$127</definedName>
    <definedName name="Белсв_02">[4]Лист1!#REF!</definedName>
    <definedName name="БЕТОН">'[34]см. ЦЕНЫ '!$B$143</definedName>
    <definedName name="бл">[35]П!#REF!</definedName>
    <definedName name="БЛАГОУСТРОЙСТВО">#REF!</definedName>
    <definedName name="бланк" hidden="1">{#N/A,#N/A,TRUE,"Буржуям"}</definedName>
    <definedName name="блокипенопол">#REF!</definedName>
    <definedName name="БН">'[4]Хран сах '!#REF!</definedName>
    <definedName name="бог.руб.">'[31]Гр+'!#REF!</definedName>
    <definedName name="бог.у.е.">'[31]Гр+'!#REF!</definedName>
    <definedName name="бог.физ.долг">#REF!</definedName>
    <definedName name="бог.юр.долг">#REF!</definedName>
    <definedName name="Больш_комисс">[4]MACRO!#REF!</definedName>
    <definedName name="Большевик_аванс">[4]Поступления!#REF!</definedName>
    <definedName name="бордюры">#REF!</definedName>
    <definedName name="БП">#REF!</definedName>
    <definedName name="БП1">[4]Лист1!#REF!</definedName>
    <definedName name="бык">'[4]Хран сах '!#REF!</definedName>
    <definedName name="Бык_02">[4]Лист1!#REF!</definedName>
    <definedName name="Бык_03">[4]Лист1!#REF!</definedName>
    <definedName name="бюд" hidden="1">{#N/A,#N/A,TRUE,"Буржуям"}</definedName>
    <definedName name="бюд.м.">'[4]#ССЫЛКА'!$J$3</definedName>
    <definedName name="бюджет" hidden="1">{"'РП (2)'!$A$5:$S$150"}</definedName>
    <definedName name="В">#REF!</definedName>
    <definedName name="в_1">#REF!</definedName>
    <definedName name="в_2">#REF!</definedName>
    <definedName name="в_7пер">[4]Лист1!#REF!</definedName>
    <definedName name="в_L282">#REF!</definedName>
    <definedName name="В_L425">#REF!</definedName>
    <definedName name="в_L426">#REF!</definedName>
    <definedName name="В_Бел_долл">'[4]#ССЫЛКА'!$E$44</definedName>
    <definedName name="в_ВС_оао">[4]Лист1!$C$304</definedName>
    <definedName name="в_ВС_рз">[4]Лист1!$C$298</definedName>
    <definedName name="в_ВС_рз1">[4]Лист1!$C$299</definedName>
    <definedName name="в_ВС_рпк">[4]Лист1!$C$301</definedName>
    <definedName name="в_ВС_рск">[4]Лист1!$C$300</definedName>
    <definedName name="в_ВС_рц">#REF!</definedName>
    <definedName name="в_гов_з_рос">#REF!</definedName>
    <definedName name="в_говхр">#REF!</definedName>
    <definedName name="В_ДБ">[4]d_pok!#REF!</definedName>
    <definedName name="В_ДБ_Бел_3п">[4]d_pok!#REF!</definedName>
    <definedName name="в_день_долл">#REF!</definedName>
    <definedName name="в_день_руб">#REF!</definedName>
    <definedName name="в_дл_пр">[4]Лист1!$K$199</definedName>
    <definedName name="В_ЗЕР_Бел_Згр">'[4]за месяц'!#REF!</definedName>
    <definedName name="в_ин">[4]Лист1!$K$239</definedName>
    <definedName name="в_ин_ду">[4]Лист1!$K$241</definedName>
    <definedName name="в_ин_немат">#REF!</definedName>
    <definedName name="в_ин_ос">[4]Лист1!$K$240</definedName>
    <definedName name="в_ин_рз">[4]Лист1!#REF!</definedName>
    <definedName name="в_инв_проч">#REF!</definedName>
    <definedName name="в_инв_рз">#REF!</definedName>
    <definedName name="в_инв_рз1">#REF!</definedName>
    <definedName name="в_инво">#REF!</definedName>
    <definedName name="в_капи">#REF!</definedName>
    <definedName name="в_лог">[4]Лист1!$K$198</definedName>
    <definedName name="в_масл_ЛД">#REF!</definedName>
    <definedName name="в_оаво_б">#REF!</definedName>
    <definedName name="в_оао_3тр">#REF!</definedName>
    <definedName name="в_оао_4">#REF!</definedName>
    <definedName name="в_оао_5">#REF!</definedName>
    <definedName name="В_ОАО_Бел">[4]d_pok!#REF!</definedName>
    <definedName name="В_ОАО_Бел_3гр">[4]d_pok!#REF!</definedName>
    <definedName name="в_оао_з">#REF!</definedName>
    <definedName name="в_оао_п3">#REF!</definedName>
    <definedName name="в_оао_проч">#REF!</definedName>
    <definedName name="в_оао_пф">#REF!</definedName>
    <definedName name="в_оао_трп">#REF!</definedName>
    <definedName name="в_оао_яч">#REF!</definedName>
    <definedName name="в_пз_прос">#REF!</definedName>
    <definedName name="в_пз_проч1">#REF!</definedName>
    <definedName name="в_пз_прочком">#REF!</definedName>
    <definedName name="в_пк_12">#REF!</definedName>
    <definedName name="в_пк_г_тр">[4]Лист1!$K$175</definedName>
    <definedName name="в_пк_г_хр">[4]Лист1!$K$176</definedName>
    <definedName name="в_пк_гов_з">[4]Лист1!$K$174</definedName>
    <definedName name="в_пк_гсер">[4]Лист1!$K$177</definedName>
    <definedName name="в_пк_гт_сер">[4]Лист1!$K$191</definedName>
    <definedName name="в_пк_гт_тр">[4]Лист1!$K$190</definedName>
    <definedName name="в_пк_гтам">[4]Лист1!$K$178</definedName>
    <definedName name="в_пк_каз_з">[4]Лист1!$K$180</definedName>
    <definedName name="в_пк_ма">#REF!</definedName>
    <definedName name="в_пк_мас_хр">[4]Лист1!$K$179</definedName>
    <definedName name="в_пк_пом">#REF!</definedName>
    <definedName name="в_пк_проч">#REF!</definedName>
    <definedName name="в_пк_рек">[4]Лист1!$K$192</definedName>
    <definedName name="в_пк_см_з">[4]Лист1!$K$183</definedName>
    <definedName name="в_пк_см_сер">[4]Лист1!$K$186</definedName>
    <definedName name="в_пк_смтам">[4]Лист1!$K$184</definedName>
    <definedName name="в_пк_смхр">[4]Лист1!$K$185</definedName>
    <definedName name="в_пк_тр">#REF!</definedName>
    <definedName name="в_проч_1">#REF!</definedName>
    <definedName name="в_пути">[4]Лист1!$G$79</definedName>
    <definedName name="в_пф_серт">#REF!</definedName>
    <definedName name="в_пш3кл">#REF!</definedName>
    <definedName name="в_рз_3кз">[4]Лист1!$K$129</definedName>
    <definedName name="В_РЗ_Бел">[4]d_pok!#REF!</definedName>
    <definedName name="В_РЗ_Бел_3гр">[4]d_pok!#REF!</definedName>
    <definedName name="в_рз_воз1">#REF!</definedName>
    <definedName name="в_рз_гр_тр">[4]Лист1!$K$111</definedName>
    <definedName name="в_рз_з">#REF!</definedName>
    <definedName name="в_рз_кук">#REF!</definedName>
    <definedName name="в_рз_мас_серт">[4]Лист1!$K$118</definedName>
    <definedName name="в_рз_мас_там">[4]Лист1!$K$116</definedName>
    <definedName name="в_рз_мас_тр">[4]Лист1!$K$117</definedName>
    <definedName name="в_рз_мас_хр">#REF!</definedName>
    <definedName name="в_рз_масз">[4]Лист1!$K$133</definedName>
    <definedName name="в_рз_овз">#REF!</definedName>
    <definedName name="в_рз_охрц">#REF!</definedName>
    <definedName name="в_рз_п3_тр">[4]Лист1!$K$126</definedName>
    <definedName name="в_рз_подз">[4]Лист1!$K$131</definedName>
    <definedName name="в_рз_поч_ком">#REF!</definedName>
    <definedName name="в_рз_пр_тр">[4]Лист1!$K$113</definedName>
    <definedName name="в_рз_про">#REF!</definedName>
    <definedName name="В_РЗ_прос_пер">[4]Лист1!$K$114</definedName>
    <definedName name="в_рз_проч">#REF!</definedName>
    <definedName name="в_рз_проч1">#REF!</definedName>
    <definedName name="в_рз_проч3кл">#REF!</definedName>
    <definedName name="в_рз_пф_тр">[4]Лист1!$K$120</definedName>
    <definedName name="в_рз_пфз">[4]Лист1!$K$132</definedName>
    <definedName name="в_рз_пфтам">#REF!</definedName>
    <definedName name="в_рз_пш3_сер">#REF!</definedName>
    <definedName name="в_рз_рег">#REF!</definedName>
    <definedName name="в_рз_риис">#REF!</definedName>
    <definedName name="в_рз_ро">#REF!</definedName>
    <definedName name="в_рз_рпо">#REF!</definedName>
    <definedName name="в_рз_сан">#REF!</definedName>
    <definedName name="в_рз_сро">#REF!</definedName>
    <definedName name="в_рз_тряч">#REF!</definedName>
    <definedName name="в_рз_хр">#REF!</definedName>
    <definedName name="в_рз_яч_серт">[4]Лист1!$K$123</definedName>
    <definedName name="в_рз_яч_тр">[4]Лист1!$K$122</definedName>
    <definedName name="в_рз_яч_хр">[4]Лист1!$K$124</definedName>
    <definedName name="в_рз_ячз">[4]Лист1!$K$130</definedName>
    <definedName name="в_рз_ячхр">#REF!</definedName>
    <definedName name="в_рп_т">#REF!</definedName>
    <definedName name="в_рп_уб">#REF!</definedName>
    <definedName name="В_РПК_Бел_2гр">[4]d_pok!#REF!</definedName>
    <definedName name="В_РПК_Бел_3гр">[4]d_pok!#REF!</definedName>
    <definedName name="в_рпк_инк">#REF!</definedName>
    <definedName name="в_рпк_проч_гов">#REF!</definedName>
    <definedName name="в_рпоч_ком">#REF!</definedName>
    <definedName name="в_рпоч_рек">#REF!</definedName>
    <definedName name="в_рпочие">#REF!</definedName>
    <definedName name="в_рпроч_инк">#REF!</definedName>
    <definedName name="В_РСК">[4]d_pok!#REF!</definedName>
    <definedName name="в_рск_ар">#REF!</definedName>
    <definedName name="в_рск_б">#REF!</definedName>
    <definedName name="В_РСК_Бел_1гр">[4]d_pok!#REF!</definedName>
    <definedName name="В_РСК_Бел_2гр">[4]d_pok!#REF!</definedName>
    <definedName name="В_РСК_Бел_3гр">[4]d_pok!#REF!</definedName>
    <definedName name="в_рск_пер4">#REF!</definedName>
    <definedName name="в_рск_у">#REF!</definedName>
    <definedName name="в_ру_сер">[4]Лист1!$K$196</definedName>
    <definedName name="в_ру_там">[4]Лист1!$K$197</definedName>
    <definedName name="в_ру_тр">[4]Лист1!$K$195</definedName>
    <definedName name="В_РУфа">[4]d_pok!#REF!</definedName>
    <definedName name="в_ск_3с_з">[4]Лист1!$K$150</definedName>
    <definedName name="в_ск_3с_стр">[4]Лист1!$K$154</definedName>
    <definedName name="в_ск_3с_там">[4]Лист1!$K$155</definedName>
    <definedName name="в_ск_3с_тр">[4]Лист1!$K$153</definedName>
    <definedName name="в_ск_3с_тр_гр">[4]Лист1!$K$151</definedName>
    <definedName name="в_ск_3с_тр_зав">[4]Лист1!$K$152</definedName>
    <definedName name="в_ск_4с_зфц">[4]Лист1!$K$157</definedName>
    <definedName name="в_ск_4с_стр">[4]Лист1!$K$163</definedName>
    <definedName name="в_ск_4с_тр">[4]Лист1!$K$162</definedName>
    <definedName name="в_ск_4с_трз">[4]Лист1!$K$161</definedName>
    <definedName name="в_ск_4с_трпер">[4]Лист1!$K$159</definedName>
    <definedName name="в_ск_4сз">[4]Лист1!$K$156</definedName>
    <definedName name="в_ск_5с_зфц">[4]Лист1!$K$164</definedName>
    <definedName name="в_ск_бол_св">[4]Лист1!$K$143</definedName>
    <definedName name="в_ск_буин_св">[4]Лист1!$K$142</definedName>
    <definedName name="в_ск_г_пер">[4]Лист1!$K$160</definedName>
    <definedName name="в_ск_г_пер_тр">[4]Лист1!$K$146</definedName>
    <definedName name="в_ск_г_сер">[4]Лист1!$K$147</definedName>
    <definedName name="в_ск_г_стр">[4]Лист1!$K$148</definedName>
    <definedName name="в_ск_г_там">[4]Лист1!$K$149</definedName>
    <definedName name="в_ск_г_тр">[4]Лист1!$K$144</definedName>
    <definedName name="в_ск_г_тр_зав">[4]Лист1!$K$145</definedName>
    <definedName name="в_ск_ждсах">#REF!</definedName>
    <definedName name="в_ск_к_сер">[4]Лист1!$K$139</definedName>
    <definedName name="в_ск_ксах_тр">[4]Лист1!$K$141</definedName>
    <definedName name="в_ск_ктр">[4]Лист1!$K$137</definedName>
    <definedName name="в_ск_ктр_пер">[4]Лист1!$K$138</definedName>
    <definedName name="в_ск_почком">#REF!</definedName>
    <definedName name="в_ск_пр">[4]Лист1!$K$169</definedName>
    <definedName name="в_ск_пр_ар">[4]Лист1!$K$165</definedName>
    <definedName name="в_ск_пр_пог">[4]Лист1!$K$168</definedName>
    <definedName name="в_ск_пр_проц">[4]Лист1!$K$167</definedName>
    <definedName name="в_ск_про_рем">[4]Лист1!$K$166</definedName>
    <definedName name="в_ск_проч_реор">#REF!</definedName>
    <definedName name="в_ск_проч5">#REF!</definedName>
    <definedName name="в_ск_прочзд">#REF!</definedName>
    <definedName name="в_ск_прочк">#REF!</definedName>
    <definedName name="в_ск_прочохр">#REF!</definedName>
    <definedName name="в_ск_сетр2">#REF!</definedName>
    <definedName name="в_ск_там1">#REF!</definedName>
    <definedName name="в_ск_там3">#REF!</definedName>
    <definedName name="в_ск4там">#REF!</definedName>
    <definedName name="в_сыр5">#REF!</definedName>
    <definedName name="в_сыр6">#REF!</definedName>
    <definedName name="в_сыр6там">#REF!</definedName>
    <definedName name="в_тк_к">[4]Лист1!$K$108</definedName>
    <definedName name="в_туш">#REF!</definedName>
    <definedName name="в_тф">#REF!</definedName>
    <definedName name="в_тф_воз">#REF!</definedName>
    <definedName name="в_тф_зак">#REF!</definedName>
    <definedName name="в_тф_зак1">#REF!</definedName>
    <definedName name="в_тф_проч">#REF!</definedName>
    <definedName name="в_тф_пф">#REF!</definedName>
    <definedName name="в_тф_рожь">#REF!</definedName>
    <definedName name="в_тф_тр">#REF!</definedName>
    <definedName name="в_фин">[4]Лист1!$K$247</definedName>
    <definedName name="в_фин_ав">#REF!</definedName>
    <definedName name="в_фин_к">#REF!</definedName>
    <definedName name="в_фин_крат">[4]Лист1!$K$248</definedName>
    <definedName name="в_фин_опгкредъ">#REF!</definedName>
    <definedName name="в_фин_пог_итог">#REF!</definedName>
    <definedName name="в_фин_пр">#REF!</definedName>
    <definedName name="в_фин_пр_сен2">#REF!</definedName>
    <definedName name="в_фин_проц">[4]Лист1!$K$250</definedName>
    <definedName name="в_фин1">#REF!</definedName>
    <definedName name="в_фин2">#REF!</definedName>
    <definedName name="в_фин3">#REF!</definedName>
    <definedName name="в_фин4">#REF!</definedName>
    <definedName name="в_фин5">#REF!</definedName>
    <definedName name="в_фин6">#REF!</definedName>
    <definedName name="в_фин7">#REF!</definedName>
    <definedName name="в_финдлор">#REF!</definedName>
    <definedName name="в_финдлр">#REF!</definedName>
    <definedName name="в_штр">[4]Лист1!$K$200</definedName>
    <definedName name="в_яч_зак1">#REF!</definedName>
    <definedName name="в_ячтамо">#REF!</definedName>
    <definedName name="в1">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8">'[36]матер.(октябрь)'!#REF!</definedName>
    <definedName name="в2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4">#REF!</definedName>
    <definedName name="в44">#REF!</definedName>
    <definedName name="в5">#REF!</definedName>
    <definedName name="в6">#REF!</definedName>
    <definedName name="в7">[4]Лист1!#REF!</definedName>
    <definedName name="вL106">#REF!</definedName>
    <definedName name="вL116">#REF!</definedName>
    <definedName name="вL119">#REF!</definedName>
    <definedName name="вL122">#REF!</definedName>
    <definedName name="вL133">#REF!</definedName>
    <definedName name="ВL138">#REF!</definedName>
    <definedName name="вL141">#REF!</definedName>
    <definedName name="вL146">#REF!</definedName>
    <definedName name="вL148">#REF!</definedName>
    <definedName name="вL150">#REF!</definedName>
    <definedName name="ВL151">#REF!</definedName>
    <definedName name="вL154">#REF!</definedName>
    <definedName name="вL157">#REF!</definedName>
    <definedName name="вL158">#REF!</definedName>
    <definedName name="вL159">#REF!</definedName>
    <definedName name="вL164">#REF!</definedName>
    <definedName name="вL166">#REF!</definedName>
    <definedName name="вL211">#REF!</definedName>
    <definedName name="вL213">#REF!</definedName>
    <definedName name="вL216">#REF!</definedName>
    <definedName name="вL217">#REF!</definedName>
    <definedName name="вL219">#REF!</definedName>
    <definedName name="вL227">#REF!</definedName>
    <definedName name="ВL241">#REF!</definedName>
    <definedName name="ВL242">#REF!</definedName>
    <definedName name="вL279">#REF!</definedName>
    <definedName name="вL282">#REF!</definedName>
    <definedName name="вL283">#REF!</definedName>
    <definedName name="вL284">#REF!</definedName>
    <definedName name="вL285">#REF!</definedName>
    <definedName name="вL286">#REF!</definedName>
    <definedName name="вL287">#REF!</definedName>
    <definedName name="вL291">#REF!</definedName>
    <definedName name="вL294">#REF!</definedName>
    <definedName name="вL295">#REF!</definedName>
    <definedName name="вL296">#REF!</definedName>
    <definedName name="вL297">#REF!</definedName>
    <definedName name="ВL298">#REF!</definedName>
    <definedName name="вL301">#REF!</definedName>
    <definedName name="ВL31">#REF!</definedName>
    <definedName name="вL310">#REF!</definedName>
    <definedName name="вL319">#REF!</definedName>
    <definedName name="вL322">#REF!</definedName>
    <definedName name="вL323">#REF!</definedName>
    <definedName name="вL324">#REF!</definedName>
    <definedName name="вl33">[4]Лист1!#REF!</definedName>
    <definedName name="вL34">#REF!</definedName>
    <definedName name="вL345">#REF!</definedName>
    <definedName name="вL346">#REF!</definedName>
    <definedName name="вL347">#REF!</definedName>
    <definedName name="ВL35">#REF!</definedName>
    <definedName name="вL350">#REF!</definedName>
    <definedName name="вL354">#REF!</definedName>
    <definedName name="вL366">#REF!</definedName>
    <definedName name="вL367">#REF!</definedName>
    <definedName name="вL368">#REF!</definedName>
    <definedName name="вL380">#REF!</definedName>
    <definedName name="вL399">#REF!</definedName>
    <definedName name="вL400">#REF!</definedName>
    <definedName name="вL401">#REF!</definedName>
    <definedName name="вL402">#REF!</definedName>
    <definedName name="вL403">#REF!</definedName>
    <definedName name="вL414">#REF!</definedName>
    <definedName name="вL415">#REF!</definedName>
    <definedName name="вL416">#REF!</definedName>
    <definedName name="вL423">#REF!</definedName>
    <definedName name="вL426">#REF!</definedName>
    <definedName name="ВL458">#REF!</definedName>
    <definedName name="ВL470">#REF!</definedName>
    <definedName name="вL55">#REF!</definedName>
    <definedName name="вL73">#REF!</definedName>
    <definedName name="вL94">#REF!</definedName>
    <definedName name="вL97">#REF!</definedName>
    <definedName name="вV38">#REF!</definedName>
    <definedName name="ва">#REF!</definedName>
    <definedName name="ваавр">[0]!ваавр</definedName>
    <definedName name="ваапе">[0]!ваапе</definedName>
    <definedName name="ВАВАВА" hidden="1">{#N/A,#N/A,TRUE,"Буржуям"}</definedName>
    <definedName name="вавапва">[0]!вавапва</definedName>
    <definedName name="ваиапа">[0]!ваиапа</definedName>
    <definedName name="ваирв">[0]!ваирв</definedName>
    <definedName name="ваиывап">[0]!ваиывап</definedName>
    <definedName name="валор" hidden="1">{"'Sheet1'!$A$1:$G$85"}</definedName>
    <definedName name="ВалП1">[4]Лист1!#REF!</definedName>
    <definedName name="Валрент_всего">#REF!</definedName>
    <definedName name="валюта">[4]Лист1!$Y$1</definedName>
    <definedName name="вано" hidden="1">{#N/A,#N/A,FALSE,"Расчет вспомогательных"}</definedName>
    <definedName name="ваоароперпо">[0]!ваоароперпо</definedName>
    <definedName name="ваоп">[0]!ваоп</definedName>
    <definedName name="ваопао">[0]!ваопао</definedName>
    <definedName name="ваопоьопр">[0]!ваопоьопр</definedName>
    <definedName name="вап">[0]!вап</definedName>
    <definedName name="вапр" hidden="1">{#N/A,#N/A,FALSE,"Расчет вспомогательных"}</definedName>
    <definedName name="вапра">[0]!вапра</definedName>
    <definedName name="ваприпрпо">[0]!ваприпрпо</definedName>
    <definedName name="вапро">[0]!вапро</definedName>
    <definedName name="вапроп" hidden="1">{"'Sheet1'!$A$1:$G$85"}</definedName>
    <definedName name="варапрар">[0]!варапрар</definedName>
    <definedName name="Вариант">#REF!</definedName>
    <definedName name="варпыарыа">[0]!варпыарыа</definedName>
    <definedName name="варрар">[0]!варрар</definedName>
    <definedName name="ваф" hidden="1">{"'РП (2)'!$A$5:$S$150"}</definedName>
    <definedName name="ваыа">[0]!ваыа</definedName>
    <definedName name="ваыпипаап">[0]!ваыпипаап</definedName>
    <definedName name="ваьпрьл">[0]!ваьпрьл</definedName>
    <definedName name="вв" hidden="1">{#N/A,#N/A,FALSE,"Aging Summary";#N/A,#N/A,FALSE,"Ratio Analysis";#N/A,#N/A,FALSE,"Test 120 Day Accts";#N/A,#N/A,FALSE,"Tickmarks"}</definedName>
    <definedName name="ВВ_Бел">'[4]#ССЫЛКА'!$D$44</definedName>
    <definedName name="ВВ_ДБ">[4]d_pok!#REF!</definedName>
    <definedName name="ВВ_ОАО_Бел">[4]d_pok!#REF!</definedName>
    <definedName name="ВВ_РСК">[4]d_pok!#REF!</definedName>
    <definedName name="ВВ_РСК_Бел_1гр">[4]d_pok!#REF!</definedName>
    <definedName name="ВВ_РСК_Бел_2гр">[4]d_pok!#REF!</definedName>
    <definedName name="ВВ_РУфа">[4]d_pok!#REF!</definedName>
    <definedName name="вва" hidden="1">#REF!</definedName>
    <definedName name="вваыв" hidden="1">#REF!</definedName>
    <definedName name="ввв">[37]Здания!$B$7:$B$13</definedName>
    <definedName name="вввв" hidden="1">{#N/A,#N/A,TRUE,"Буржуям"}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вд">[0]!ввд</definedName>
    <definedName name="ввн">[0]!ввн</definedName>
    <definedName name="ВВЫЫ" hidden="1">{#N/A,#N/A,TRUE,"Буржуям"}</definedName>
    <definedName name="ВД_в_наполнении_авансов_старых__на_начало_периода">'[4]#ССЫЛКА'!$V$4</definedName>
    <definedName name="ВДР">#REF!</definedName>
    <definedName name="ВДРНП">#REF!</definedName>
    <definedName name="ВДС">#REF!</definedName>
    <definedName name="вег" hidden="1">{#N/A,#N/A,TRUE,"Буржуям"}</definedName>
    <definedName name="вегшнгдщгшд">[0]!вегшнгдщгшд</definedName>
    <definedName name="веелрл">[0]!веелрл</definedName>
    <definedName name="веенлв">[0]!веенлв</definedName>
    <definedName name="Величина_Сов_Износа">#REF!</definedName>
    <definedName name="велшгншлпнгдщ">[0]!велшгншлпнгдщ</definedName>
    <definedName name="венгегв">[0]!венгегв</definedName>
    <definedName name="венглшанщлшгш">[0]!венглшанщлшгш</definedName>
    <definedName name="венгнагшнпг">[0]!венгнагшнпг</definedName>
    <definedName name="венгшенгшен">[0]!венгшенгшен</definedName>
    <definedName name="венгщщг">[0]!венгщщг</definedName>
    <definedName name="венегае">[0]!венегае</definedName>
    <definedName name="венеген">[0]!венеген</definedName>
    <definedName name="веновен">[0]!веновен</definedName>
    <definedName name="венп">[0]!венп</definedName>
    <definedName name="вео">[0]!вео</definedName>
    <definedName name="веполл">[0]!веполл</definedName>
    <definedName name="вефч" hidden="1">{#N/A,#N/A,FALSE,"Virgin Flightdeck"}</definedName>
    <definedName name="вефч1" hidden="1">{#N/A,#N/A,FALSE,"Virgin Flightdeck"}</definedName>
    <definedName name="вешншнг">[0]!вешншнг</definedName>
    <definedName name="вз">[4]MACRO!$F$76</definedName>
    <definedName name="вз_1">[4]Лист1!$H$19</definedName>
    <definedName name="вз_11">[4]Лист1!$J$19</definedName>
    <definedName name="вз_12">[4]Лист1!$J$20</definedName>
    <definedName name="вз_13">[4]Лист1!$J$21</definedName>
    <definedName name="вз_14">[4]Лист1!$J$22</definedName>
    <definedName name="вз_15">[4]Лист1!$J$23</definedName>
    <definedName name="вз_16">[4]Лист1!$J$26</definedName>
    <definedName name="вз_2">[4]Лист1!$H$20</definedName>
    <definedName name="вз_3">[4]Лист1!$H$21</definedName>
    <definedName name="вз_4">[4]Лист1!$H$22</definedName>
    <definedName name="вз_5">[4]Лист1!$H$23</definedName>
    <definedName name="вз_6">[4]Лист1!$H$26</definedName>
    <definedName name="вз2">[4]Лист1!$F$45</definedName>
    <definedName name="взд" hidden="1">{"NWN_Q1810",#N/A,FALSE,"Q1810_1.V";"NWN_Q1412",#N/A,FALSE,"Q1412_1"}</definedName>
    <definedName name="взносы" hidden="1">{#N/A,#N/A,TRUE,"Буржуям"}</definedName>
    <definedName name="вид_дохода">'[38]расш доходов'!$B$13:$B$24</definedName>
    <definedName name="вид_имущества">[38]расш_ББ_1!$B$15:$B$26</definedName>
    <definedName name="вид_расхода">'[38]расш расходов'!$B$13:$B$33</definedName>
    <definedName name="вирвап">[0]!вирвап</definedName>
    <definedName name="вкаыр" hidden="1">{"glc1",#N/A,FALSE,"GLC";"glc2",#N/A,FALSE,"GLC";"glc3",#N/A,FALSE,"GLC";"glc4",#N/A,FALSE,"GLC";"glc5",#N/A,FALSE,"GLC"}</definedName>
    <definedName name="ВКЗ">'[4]Кред. задолж.'!$F$34</definedName>
    <definedName name="ВКЗ_кз">[4]MACRO!$G$99</definedName>
    <definedName name="ВКЗ_прц">'[4]Кред. задолж.'!$G$48</definedName>
    <definedName name="вклад" hidden="1">{#N/A,#N/A,TRUE,"Буржуям"}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М">'[4]Фин. вложения'!$D$45</definedName>
    <definedName name="ВН">#REF!</definedName>
    <definedName name="внгглгшдз">[0]!внгглгшдз</definedName>
    <definedName name="ВНДС">#REF!</definedName>
    <definedName name="вноевро">[0]!вноевро</definedName>
    <definedName name="вноыуек">[0]!вноыуек</definedName>
    <definedName name="ВНПТБХ">#REF!</definedName>
    <definedName name="ВНСР">#REF!</definedName>
    <definedName name="ВНСЭ">#REF!</definedName>
    <definedName name="ВНУСЛ">#REF!</definedName>
    <definedName name="внутр_перем_1">[4]Лист1!$V$3:$V$55</definedName>
    <definedName name="внутр_перем_2">[4]Лист1!$V$166:$V$218</definedName>
    <definedName name="внутр_перемещ">[4]Лист1!$V$3:$V$218</definedName>
    <definedName name="воаоно">[0]!воаоно</definedName>
    <definedName name="водоснаб">#REF!</definedName>
    <definedName name="Водоснабжение">[39]Исходник!$S$4:$S$6</definedName>
    <definedName name="воепоп">[0]!воепоп</definedName>
    <definedName name="воз_ф">[4]Лист1!$F$10</definedName>
    <definedName name="воз_ф2">[4]Лист1!$F$19</definedName>
    <definedName name="Волг_пш_5_своб">[4]Лист1!$I$61</definedName>
    <definedName name="Волгогр_пш_3">[4]Лист1!$K$34</definedName>
    <definedName name="Волгогр_пш_3_неопл">[4]Лист1!$L$34</definedName>
    <definedName name="Волгогр_пш_3_своб">[4]Лист1!$I$34</definedName>
    <definedName name="Волгогр_пш_фур_неопл">[4]Лист1!$L$61</definedName>
    <definedName name="Волгоград_пш_5">[4]Лист1!$K$61</definedName>
    <definedName name="Волгоград_пш_5_своб">[4]Лист1!$I$61</definedName>
    <definedName name="Волгоград_ячм_неопл">[4]Лист1!$L$131</definedName>
    <definedName name="Волгоград_ячм_своб">[4]Лист1!$I$131</definedName>
    <definedName name="Волгоград_ячмень">[4]Лист1!$K$131</definedName>
    <definedName name="Володарка_креРЗ">[4]Лист1!$F$135</definedName>
    <definedName name="вон">[0]!вон</definedName>
    <definedName name="вопот">[0]!вопот</definedName>
    <definedName name="вопроае">[0]!вопроае</definedName>
    <definedName name="вопрово">[0]!вопрово</definedName>
    <definedName name="вопроноено">[0]!вопроноено</definedName>
    <definedName name="вопрорп">[0]!вопрорп</definedName>
    <definedName name="ворк_02">[4]Лист1!#REF!</definedName>
    <definedName name="ворнеарв">[0]!ворнеарв</definedName>
    <definedName name="ворпеопрор">[0]!ворпеопрор</definedName>
    <definedName name="Ворск_03">[4]Лист1!#REF!</definedName>
    <definedName name="вота">[0]!вота</definedName>
    <definedName name="вп">#REF!</definedName>
    <definedName name="впавпавпа" hidden="1">[23]MAIN!#REF!</definedName>
    <definedName name="впавпас" hidden="1">[23]MAIN!#REF!</definedName>
    <definedName name="впарров">[0]!впарров</definedName>
    <definedName name="впеао">[0]!впеао</definedName>
    <definedName name="впелрл">[0]!впелрл</definedName>
    <definedName name="впеов">[0]!впеов</definedName>
    <definedName name="вплл">[0]!вплл</definedName>
    <definedName name="впро" hidden="1">{#N/A,#N/A,TRUE,"Буржуям"}</definedName>
    <definedName name="впропр">[0]!впропр</definedName>
    <definedName name="впроч">#REF!</definedName>
    <definedName name="вптьо">[0]!вптьо</definedName>
    <definedName name="впь">[0]!впь</definedName>
    <definedName name="впьа">[0]!впьа</definedName>
    <definedName name="впьвто">[0]!впьвто</definedName>
    <definedName name="впьри">[0]!впьри</definedName>
    <definedName name="впьрь">[0]!впьрь</definedName>
    <definedName name="ВР1">[4]Лист1!#REF!</definedName>
    <definedName name="врвапфыв">[0]!врвапфыв</definedName>
    <definedName name="времдороги">#REF!</definedName>
    <definedName name="времндороги">[40]благоустр.!#REF!</definedName>
    <definedName name="ВРО1">[4]Лист1!#REF!</definedName>
    <definedName name="вролод">[0]!вролод</definedName>
    <definedName name="вс" hidden="1">{#N/A,#N/A,FALSE,"Aging Summary";#N/A,#N/A,FALSE,"Ratio Analysis";#N/A,#N/A,FALSE,"Test 120 Day Accts";#N/A,#N/A,FALSE,"Tickmarks"}</definedName>
    <definedName name="вс1">[4]Лист1!#REF!</definedName>
    <definedName name="вс2">[4]Лист1!#REF!</definedName>
    <definedName name="вс3">[4]Лист1!#REF!</definedName>
    <definedName name="Всего">#REF!</definedName>
    <definedName name="всего_Д">#REF!</definedName>
    <definedName name="ВСР">#REF!</definedName>
    <definedName name="вст">#REF!</definedName>
    <definedName name="вставка" hidden="1">{#N/A,#N/A,TRUE,"Буржуям"}</definedName>
    <definedName name="встр.пр.од.руб.">'[31]Гр+'!#REF!</definedName>
    <definedName name="встр.пр.од.у.е.">'[31]Гр+'!#REF!</definedName>
    <definedName name="ВСЭ">#REF!</definedName>
    <definedName name="вся" hidden="1">{#N/A,#N/A,FALSE,"Aging Summary";#N/A,#N/A,FALSE,"Ratio Analysis";#N/A,#N/A,FALSE,"Test 120 Day Accts";#N/A,#N/A,FALSE,"Tickmarks"}</definedName>
    <definedName name="ВСЯКИЕ">'[34]см. ЦЕНЫ '!$B$251</definedName>
    <definedName name="вт">#REF!</definedName>
    <definedName name="втам">#REF!</definedName>
    <definedName name="ВторРазмОфКонв">[41]Параметры!#REF!</definedName>
    <definedName name="ВторРазмФинОф">[41]Параметры!#REF!</definedName>
    <definedName name="втыавит" hidden="1">#REF!</definedName>
    <definedName name="втьопьо">[0]!втьопьо</definedName>
    <definedName name="вуекгу5екг">[0]!вуекгу5екг</definedName>
    <definedName name="вуекуену">[0]!вуекуену</definedName>
    <definedName name="вупаеорпр">[0]!вупаеорпр</definedName>
    <definedName name="вупрыр">[0]!вупрыр</definedName>
    <definedName name="вур">[0]!вур</definedName>
    <definedName name="вф">[4]Лист1!#REF!</definedName>
    <definedName name="вфыфыва" hidden="1">{"'Sheet1'!$A$12:$K$107"}</definedName>
    <definedName name="вх">#REF!</definedName>
    <definedName name="ВХОДЫ">#REF!</definedName>
    <definedName name="ВХОДЫ_ОТМОСТКА">#REF!</definedName>
    <definedName name="ВыL199">#REF!</definedName>
    <definedName name="ВыL254">#REF!</definedName>
    <definedName name="ВыL299">#REF!</definedName>
    <definedName name="ВыL300">#REF!</definedName>
    <definedName name="ВыL385">#REF!</definedName>
    <definedName name="ВыL386">#REF!</definedName>
    <definedName name="ВыL387">#REF!</definedName>
    <definedName name="выа">[42]DCF!$R$69</definedName>
    <definedName name="выадлр" hidden="1">{"glc1",#N/A,FALSE,"GLC";"glc2",#N/A,FALSE,"GLC";"glc3",#N/A,FALSE,"GLC";"glc4",#N/A,FALSE,"GLC";"glc5",#N/A,FALSE,"GLC"}</definedName>
    <definedName name="выб_1">[4]Лист1!$T$3:$T$55</definedName>
    <definedName name="выб_3">[4]Лист1!$T$166:$T$218</definedName>
    <definedName name="ВыбL301">#REF!</definedName>
    <definedName name="ВыбL302">#REF!</definedName>
    <definedName name="выбор">[43]Служебный!$B$1:$B$2</definedName>
    <definedName name="выбытие">[4]Лист1!$T$3:$T$218</definedName>
    <definedName name="вывывывы" hidden="1">{"glc1",#N/A,FALSE,"GLC";"glc2",#N/A,FALSE,"GLC";"glc3",#N/A,FALSE,"GLC";"glc4",#N/A,FALSE,"GLC";"glc5",#N/A,FALSE,"GLC"}</definedName>
    <definedName name="выключатели">#REF!</definedName>
    <definedName name="ВЫКЛЮЧАТЕЛЬ">'[36]матер.(октябрь)'!#REF!</definedName>
    <definedName name="Выплат">#REF!</definedName>
    <definedName name="выплат1">[44]Кредит!$D$6</definedName>
    <definedName name="выплата" hidden="1">{#N/A,#N/A,TRUE,"Буржуям"}</definedName>
    <definedName name="Выработка">#REF!</definedName>
    <definedName name="Выработка_Сумм">#REF!</definedName>
    <definedName name="Выручка_всего">#REF!</definedName>
    <definedName name="высок_03">[4]Лист1!#REF!</definedName>
    <definedName name="Высота1">[2]Исход.инф.!$C$7</definedName>
    <definedName name="Высота2">[2]Исход.инф.!$C$8</definedName>
    <definedName name="Высота3">[2]Исход.инф.!$C$9</definedName>
    <definedName name="Высота4">[2]Исход.инф.!$C$10</definedName>
    <definedName name="выходокон">#REF!</definedName>
    <definedName name="вьарб">[0]!вьарб</definedName>
    <definedName name="г">[4]Лист1!$AE$89</definedName>
    <definedName name="г6ц45">[0]!г6ц45</definedName>
    <definedName name="г9">[0]!г9</definedName>
    <definedName name="газ">#REF!</definedName>
    <definedName name="газета" hidden="1">{#N/A,#N/A,TRUE,"Буржуям"}</definedName>
    <definedName name="гакк.руб.">'[31]Гр+'!#REF!</definedName>
    <definedName name="гакк.у.е.">'[31]Гр+'!#REF!</definedName>
    <definedName name="ганкшнгшн">[0]!ганкшнгшн</definedName>
    <definedName name="гг">[45]восст!$B$1:$J$65536</definedName>
    <definedName name="ггг">[0]!ггг</definedName>
    <definedName name="гггг" hidden="1">{#N/A,#N/A,TRUE,"Буржуям"}</definedName>
    <definedName name="гггггггггг">[0]!гггггггггг</definedName>
    <definedName name="ггггггггггггггггггггггг">[0]!ггггггггггггггггггггггг</definedName>
    <definedName name="гггггггггггггггггггггггггггггг">[0]!гггггггггггггггггггггггггггггг</definedName>
    <definedName name="ггк6г6">[0]!ггк6г6</definedName>
    <definedName name="гегг">[0]!гегг</definedName>
    <definedName name="гегег">[0]!гегег</definedName>
    <definedName name="гегегегег" hidden="1">{"glc1",#N/A,FALSE,"GLC";"glc2",#N/A,FALSE,"GLC";"glc3",#N/A,FALSE,"GLC";"glc4",#N/A,FALSE,"GLC";"glc5",#N/A,FALSE,"GLC"}</definedName>
    <definedName name="геег">[0]!геег</definedName>
    <definedName name="геккенк">[0]!геккенк</definedName>
    <definedName name="гекщшкг">[0]!гекщшкг</definedName>
    <definedName name="генгегвуе">[0]!генгегвуе</definedName>
    <definedName name="генгегег">[0]!генгегег</definedName>
    <definedName name="генгегеу">[0]!генгегеу</definedName>
    <definedName name="генгкгшен">[0]!генгкгшен</definedName>
    <definedName name="генгшешнг">[0]!генгшешнг</definedName>
    <definedName name="генекнуук">[0]!генекнуук</definedName>
    <definedName name="гененге">[0]!гененге</definedName>
    <definedName name="генеолр">[0]!генеолр</definedName>
    <definedName name="геннепорн">[0]!геннепорн</definedName>
    <definedName name="ГенПодрядчик">#REF!</definedName>
    <definedName name="генугн">[0]!генугн</definedName>
    <definedName name="геншгщ">[0]!геншгщ</definedName>
    <definedName name="геогеог">[0]!геогеог</definedName>
    <definedName name="гепгнп">[0]!гепгнп</definedName>
    <definedName name="Геркулес">'[4]Фин. вложения'!$T$36</definedName>
    <definedName name="гещегш">[0]!гещегш</definedName>
    <definedName name="гзшх">[0]!гзшх</definedName>
    <definedName name="ГИПС">'[36]матер.(октябрь)'!#REF!</definedName>
    <definedName name="гироизоляциястены">#REF!</definedName>
    <definedName name="гкегкгшг">[0]!гкегкгшг</definedName>
    <definedName name="гкенкге">[0]!гкенкге</definedName>
    <definedName name="гкнген">[0]!гкнген</definedName>
    <definedName name="глкзд" hidden="1">{"glc1",#N/A,FALSE,"GLC";"glc2",#N/A,FALSE,"GLC";"glc3",#N/A,FALSE,"GLC";"glc4",#N/A,FALSE,"GLC";"glc5",#N/A,FALSE,"GLC"}</definedName>
    <definedName name="глшаенггш">[0]!глшаенггш</definedName>
    <definedName name="гн" hidden="1">{"glcbs",#N/A,FALSE,"GLCBS";"glccsbs",#N/A,FALSE,"GLCCSBS";"glcis",#N/A,FALSE,"GLCIS";"glccsis",#N/A,FALSE,"GLCCSIS";"glcrat1",#N/A,FALSE,"GLC-ratios1"}</definedName>
    <definedName name="гнгу56">[0]!гнгу56</definedName>
    <definedName name="гнгще">[0]!гнгще</definedName>
    <definedName name="гнекуф" hidden="1">{"ÜBER mit FW","THU",FALSE,"HORE KORR!";"ÜBERSICHT",#N/A,FALSE,"BUDGET 1997_98";"ÜBER mit FW",#N/A,FALSE,"IST KUM KORR!!";"ÜBERSICHT",#N/A,FALSE,"PLAN KUM"}</definedName>
    <definedName name="гнлшгплрод">[0]!гнлшгплрод</definedName>
    <definedName name="гнпсмв" hidden="1">{#N/A,#N/A,TRUE,"Буржуям"}</definedName>
    <definedName name="гншггншщег">[0]!гншггншщег</definedName>
    <definedName name="гншщ" hidden="1">{#N/A,#N/A,FALSE,"Aging Summary";#N/A,#N/A,FALSE,"Ratio Analysis";#N/A,#N/A,FALSE,"Test 120 Day Accts";#N/A,#N/A,FALSE,"Tickmarks"}</definedName>
    <definedName name="гоарвногоы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д">[46]свед!$B$2</definedName>
    <definedName name="гойщшгнф" hidden="1">#N/A</definedName>
    <definedName name="гом_сс">[4]платежи!$H$22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вода">#REF!</definedName>
    <definedName name="горнавр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ъ">[0]!гоъ</definedName>
    <definedName name="гпаопоип" hidden="1">#REF!</definedName>
    <definedName name="гпора" hidden="1">{"glc1",#N/A,FALSE,"GLC";"glc2",#N/A,FALSE,"GLC";"glc3",#N/A,FALSE,"GLC";"glc4",#N/A,FALSE,"GLC";"glc5",#N/A,FALSE,"GLC"}</definedName>
    <definedName name="гр.руб.">'[31]Гр+'!#REF!</definedName>
    <definedName name="гр.у.е.">'[31]Гр+'!#REF!</definedName>
    <definedName name="граф2" hidden="1">[47]T1!#REF!</definedName>
    <definedName name="График">#REF!</definedName>
    <definedName name="греч_отг">[4]Лист1!$F$192</definedName>
    <definedName name="греч_отг_ДС">[4]Лист1!$M$192</definedName>
    <definedName name="гриф" hidden="1">{#N/A,#N/A,TRUE,"Буржуям"}</definedName>
    <definedName name="грн">[48]Лист1!$B$41</definedName>
    <definedName name="гро0">[0]!гро0</definedName>
    <definedName name="группировка_Балитэкс">OFFSET([49]справочники!$A$100,0,0, COUNTA([49]справочники!$A$100:$A$110),2)</definedName>
    <definedName name="группировка_ГПБИ">OFFSET([49]справочники!$A$83,0,0, COUNTA([49]справочники!$A$83:$A$98),2)</definedName>
    <definedName name="группировка_Лиона">OFFSET([49]справочники!$A$73,0,0, COUNTA([49]справочники!$A$73:$A$81),2)</definedName>
    <definedName name="группировка_статей">OFFSET([49]справочники!$A$3,0,0, COUNTA([49]справочники!$A$3:$A$39),2)</definedName>
    <definedName name="группировка_Харкона">OFFSET([49]справочники!$A$40,0,0, COUNTA([49]справочники!$A$40:$A$73),2)</definedName>
    <definedName name="гу">[0]!гу</definedName>
    <definedName name="гуге">[0]!гуге</definedName>
    <definedName name="гуегге">[0]!гуегге</definedName>
    <definedName name="гуегего">[0]!гуегего</definedName>
    <definedName name="гуегекн">[0]!гуегекн</definedName>
    <definedName name="гуегео">[0]!гуегео</definedName>
    <definedName name="гуегкг">[0]!гуегкг</definedName>
    <definedName name="гуенгек">[0]!гуенгек</definedName>
    <definedName name="гуенгекнку">[0]!гуенгекнку</definedName>
    <definedName name="гуенгенг">[0]!гуенгенг</definedName>
    <definedName name="гуене">[0]!гуене</definedName>
    <definedName name="гукге">[0]!гукге</definedName>
    <definedName name="гунгуеге">[0]!гунгуеге</definedName>
    <definedName name="гш">[4]Изменения!$J$23</definedName>
    <definedName name="гш8">[4]Изменения!$I$23</definedName>
    <definedName name="гшгншщеш">[0]!гшгншщеш</definedName>
    <definedName name="гшенгшще">[0]!гшенгшще</definedName>
    <definedName name="гшеншщенг">[0]!гшеншщенг</definedName>
    <definedName name="гшещгшщ">[0]!гшещгшщ</definedName>
    <definedName name="гшнгшегщ">[0]!гшнгшегщ</definedName>
    <definedName name="гшнегшедщешг">[0]!гшнегшедщешг</definedName>
    <definedName name="гшнщегщ">[0]!гшнщегщ</definedName>
    <definedName name="гшонгнгн">[0]!гшонгнгн</definedName>
    <definedName name="гшпнгшгш">[0]!гшпнгшгш</definedName>
    <definedName name="гшъ">[0]!гшъ</definedName>
    <definedName name="гщгшз">[0]!гщгшз</definedName>
    <definedName name="гъ">[0]!гъ</definedName>
    <definedName name="д">[37]Доходный!$B$1</definedName>
    <definedName name="д1">[4]Лист1!#REF!</definedName>
    <definedName name="д2">[4]Лист1!#REF!</definedName>
    <definedName name="д3">[4]Лист1!#REF!</definedName>
    <definedName name="д4">[4]Лист1!#REF!</definedName>
    <definedName name="д98">#REF!</definedName>
    <definedName name="д99">#REF!</definedName>
    <definedName name="Данные" hidden="1">#REF!</definedName>
    <definedName name="дата">[21]Титул!$I$7</definedName>
    <definedName name="дата_оцен">[50]Служебный!$B$7</definedName>
    <definedName name="Дата_оценки">#REF!</definedName>
    <definedName name="дата_файла">[4]Лист1!#REF!</definedName>
    <definedName name="датаоценки">'[51]Все ОС'!$B$1</definedName>
    <definedName name="ДБ">#REF!</definedName>
    <definedName name="дверь">#REF!</definedName>
    <definedName name="движ_за_день_ЗЕРНО">[4]Лист1!$R$3:$Y$39</definedName>
    <definedName name="движ_за_день_ОСТАЛ">[4]Лист1!$R$166:$Y$205</definedName>
    <definedName name="движ_за_день_РПК">[4]Лист1!$R$40:$Y$55</definedName>
    <definedName name="движ_за_день_САХАР">[4]Лист1!$R$56:$Y$165</definedName>
    <definedName name="движ_за_день_УФА">[4]Лист1!$R$206:$Y$218</definedName>
    <definedName name="движение_за_день">[4]Лист1!$R$3:$Y$218</definedName>
    <definedName name="Движение_товара_EXCEL_ALL">[4]Лист1!$B$2:$K$40</definedName>
    <definedName name="дддд" hidden="1">{#N/A,#N/A,FALSE,"Aging Summary";#N/A,#N/A,FALSE,"Ratio Analysis";#N/A,#N/A,FALSE,"Test 120 Day Accts";#N/A,#N/A,FALSE,"Tickmarks"}</definedName>
    <definedName name="ддддддд" hidden="1">{"glc1",#N/A,FALSE,"GLC";"glc2",#N/A,FALSE,"GLC";"glc3",#N/A,FALSE,"GLC";"glc4",#N/A,FALSE,"GLC";"glc5",#N/A,FALSE,"GLC"}</definedName>
    <definedName name="ддж">#REF!</definedName>
    <definedName name="дебиторка_тонн">[4]Лист1!$I$139</definedName>
    <definedName name="дебиторка_факт">[4]Лист1!$G$139</definedName>
    <definedName name="дек">[4]титул!#REF!</definedName>
    <definedName name="дек_1">#REF!</definedName>
    <definedName name="дек_2">#REF!</definedName>
    <definedName name="дек03гр">#REF!</definedName>
    <definedName name="дек03руб.">#REF!</definedName>
    <definedName name="дек03у.е.">#REF!</definedName>
    <definedName name="дек04гр">#REF!</definedName>
    <definedName name="дек04руб">#REF!</definedName>
    <definedName name="дек04у.е.">#REF!</definedName>
    <definedName name="декабрь" hidden="1">{#N/A,#N/A,TRUE,"Буржуям"}</definedName>
    <definedName name="декабрь33333" hidden="1">{#N/A,#N/A,TRUE,"Буржуям"}</definedName>
    <definedName name="дельта">#REF!</definedName>
    <definedName name="дельта1">#REF!</definedName>
    <definedName name="ден_част_З">[4]СКР!$D$21</definedName>
    <definedName name="ден_часть_д_З">[4]СКР!$H$21</definedName>
    <definedName name="ден_часть_д_С">[4]СКР!$H$34</definedName>
    <definedName name="ден_часть_С">[4]СКР!$D$34</definedName>
    <definedName name="денежные_ср_в_регионе_дол">[4]Лист1!#REF!</definedName>
    <definedName name="денежные_ср_в_регионе_РСК">[4]Лист1!#REF!</definedName>
    <definedName name="Денньги_рсч">[4]Лист1!$F$25</definedName>
    <definedName name="Деньги">[4]Лист1!$D$12</definedName>
    <definedName name="деньги_в_пути">'[4]2 деньги в пути'!$F$31</definedName>
    <definedName name="ДЕНЬГИ_В_регионе">[4]Лист1!#REF!</definedName>
    <definedName name="ДЕРЕВЯШКИ">'[34]см. ЦЕНЫ '!$B$191</definedName>
    <definedName name="детплощадка">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" hidden="1">{"glc1",#N/A,FALSE,"GLC";"glc2",#N/A,FALSE,"GLC";"glc3",#N/A,FALSE,"GLC";"glc4",#N/A,FALSE,"GLC";"glc5",#N/A,FALSE,"GLC"}</definedName>
    <definedName name="ДЗ_01_02">[4]Лист1!$F$55</definedName>
    <definedName name="ДЗ_1" hidden="1">{#N/A,#N/A,FALSE,"Aging Summary";#N/A,#N/A,FALSE,"Ratio Analysis";#N/A,#N/A,FALSE,"Test 120 Day Accts";#N/A,#N/A,FALSE,"Tickmarks"}</definedName>
    <definedName name="ДЗ_Всего">#REF!</definedName>
    <definedName name="ДЗ_ДБ">[4]d_pok!#REF!</definedName>
    <definedName name="ДЗ_ДБ_Бел_3п">[4]d_pok!#REF!</definedName>
    <definedName name="ДЗ_ОАО_Бел">[4]d_pok!#REF!</definedName>
    <definedName name="ДЗ_ОАО_Бел_3гр">[4]d_pok!#REF!</definedName>
    <definedName name="ДЗ_РЗ_Бел">[4]d_pok!#REF!</definedName>
    <definedName name="ДЗ_РЗ_Бел_3гр">[4]d_pok!#REF!</definedName>
    <definedName name="ДЗ_РПК_Бел_2гр">[4]d_pok!#REF!</definedName>
    <definedName name="ДЗ_РПК_Бел_3гр">[4]d_pok!#REF!</definedName>
    <definedName name="ДЗ_РСК">[4]d_pok!#REF!</definedName>
    <definedName name="ДЗ_РСК_Бел_1гр">[4]d_pok!#REF!</definedName>
    <definedName name="ДЗ_РСК_Бел_2гр">[4]d_pok!#REF!</definedName>
    <definedName name="ДЗ_РСК_Бел_3гр">[4]d_pok!#REF!</definedName>
    <definedName name="ДЗ_РУфа">[4]d_pok!#REF!</definedName>
    <definedName name="ДЗ_РЦ">[4]Лист1!$F$32</definedName>
    <definedName name="ДЗ_сах">[4]Лист1!$G$66</definedName>
    <definedName name="дз1">#REF!</definedName>
    <definedName name="дз2">#REF!</definedName>
    <definedName name="ДЗсвекла">[4]Лист1!$F$44</definedName>
    <definedName name="ДЗЩЛЗХ" hidden="1">{#N/A,#N/A,FALSE,"Aging Summary";#N/A,#N/A,FALSE,"Ratio Analysis";#N/A,#N/A,FALSE,"Test 120 Day Accts";#N/A,#N/A,FALSE,"Tickmarks"}</definedName>
    <definedName name="ди">[52]износ!$A$1:$D$65536</definedName>
    <definedName name="диаг" hidden="1">{#N/A,#N/A,TRUE,"Буржуям"}</definedName>
    <definedName name="диагр" hidden="1">{"'интерфейс'!$J$31:$M$43"}</definedName>
    <definedName name="дис">#REF!</definedName>
    <definedName name="дис1">[53]свед!$B$14</definedName>
    <definedName name="дло" hidden="1">{"'Prices'!$A$4:$J$27"}</definedName>
    <definedName name="длор">#REF!</definedName>
    <definedName name="длр">#REF!</definedName>
    <definedName name="дм">[54]Словари!$B$4:$B$16</definedName>
    <definedName name="дни">[55]нормы!$G$3</definedName>
    <definedName name="ДО">#REF!</definedName>
    <definedName name="догог">[0]!догог</definedName>
    <definedName name="дозо" hidden="1">{#N/A,#N/A,FALSE,"Aging Summary";#N/A,#N/A,FALSE,"Ratio Analysis";#N/A,#N/A,FALSE,"Test 120 Day Accts";#N/A,#N/A,FALSE,"Tickmarks"}</definedName>
    <definedName name="дол">#REF!</definedName>
    <definedName name="Долг">[4]Лист1!#REF!</definedName>
    <definedName name="долг.общ.от.нач.">#REF!</definedName>
    <definedName name="долг.руб.">'[31]Гр+'!#REF!</definedName>
    <definedName name="долг.ст.б.">#REF!</definedName>
    <definedName name="долг.у.е.">'[31]Гр+'!#REF!</definedName>
    <definedName name="долгвстр">'[56]каскад,5'!#REF!</definedName>
    <definedName name="долгвстрмфтц">'[56]каскад,5'!#REF!</definedName>
    <definedName name="долгкв">'[56]каскад,5'!#REF!</definedName>
    <definedName name="долгквмфтц">'[56]каскад,5'!#REF!</definedName>
    <definedName name="долгпосданным">#REF!</definedName>
    <definedName name="долгсдав.тек.году">#REF!</definedName>
    <definedName name="долгсослед.года">#REF!</definedName>
    <definedName name="долгфин">'[4]1.14'!#REF!</definedName>
    <definedName name="долгфин1">'[4]1.14'!#REF!</definedName>
    <definedName name="долгфин2">'[4]1.14'!#REF!</definedName>
    <definedName name="долл">'[57]исход-итог'!$C$2</definedName>
    <definedName name="долл1">'[58]общие сведения'!$B$7</definedName>
    <definedName name="Доллар">[59]Исходные!$B$12</definedName>
    <definedName name="Доллар_доход">'[60]Плановые курсы валют'!$B$2</definedName>
    <definedName name="Доллар_расход">'[60]Плановые курсы валют'!$D$2</definedName>
    <definedName name="долллл">#REF!</definedName>
    <definedName name="долриол" hidden="1">{#N/A,#N/A,FALSE,"Capex";#N/A,#N/A,FALSE,"Market"}</definedName>
    <definedName name="долрн" hidden="1">{"glc1",#N/A,FALSE,"GLC";"glc2",#N/A,FALSE,"GLC";"glc3",#N/A,FALSE,"GLC";"glc4",#N/A,FALSE,"GLC";"glc5",#N/A,FALSE,"GLC"}</definedName>
    <definedName name="ДоляЖилая">[41]Параметры!$B$14</definedName>
    <definedName name="ДоляНДС">#N/A</definedName>
    <definedName name="ДоляОферты">#REF!</definedName>
    <definedName name="ДоляПродаваемая">[41]Параметры!$B$13</definedName>
    <definedName name="дом">'[61]рын счит'!$B$3:$B$3</definedName>
    <definedName name="домЛучко">'[58]Метод остатка'!#REF!</definedName>
    <definedName name="доп">'[62]исходные данные'!$I$25</definedName>
    <definedName name="доп.пддс" hidden="1">{#VALUE!,#N/A,TRUE,0}</definedName>
    <definedName name="Дополнительный">#REF!</definedName>
    <definedName name="допуслуги">#REF!</definedName>
    <definedName name="допы_ном">[62]списки!$E$47</definedName>
    <definedName name="дор">[53]свед!$B$14</definedName>
    <definedName name="дороги">#REF!</definedName>
    <definedName name="дос">#REF!</definedName>
    <definedName name="дох">#REF!</definedName>
    <definedName name="ДохДолУч1">[4]Лист1!#REF!</definedName>
    <definedName name="доход">#REF!</definedName>
    <definedName name="ДохПрРеал1">[4]Лист1!#REF!</definedName>
    <definedName name="дп">#REF!</definedName>
    <definedName name="дс_путь">[4]Лист1!$J$68</definedName>
    <definedName name="Дс_рег">[4]Лист1!$D$68</definedName>
    <definedName name="ДС_рег_всего">[4]Лист1!$H$68</definedName>
    <definedName name="ДСЗЕРПО">[4]Лист1!$M$59</definedName>
    <definedName name="ДСФЗЕР">[4]Лист1!$N$59</definedName>
    <definedName name="дт">[4]Лист1!$AJ$1</definedName>
    <definedName name="дшоL206">#REF!</definedName>
    <definedName name="дшрпжпд">#REF!</definedName>
    <definedName name="е" hidden="1">{"'РП (2)'!$A$5:$S$150"}</definedName>
    <definedName name="ё">[4]Лист1!$A$3:$BG$219</definedName>
    <definedName name="ё_агро">[4]Лист1!$I$1:$K$65536</definedName>
    <definedName name="ё_БП">[4]Хотмыжск!#REF!</definedName>
    <definedName name="ё_всё">[4]Лист1!$C$1:$T$65536</definedName>
    <definedName name="ё_всё_всё">[4]Лист1!$A$10:$IV$89,[4]Лист1!$A$92:$IV$186</definedName>
    <definedName name="ё_группа">[4]Лист1!$C$1:$Q$65536</definedName>
    <definedName name="ё_Группа_КФВ_Ссуды">[4]Лист1!$A$172:$IV$172,[4]Лист1!$A$174:$IV$174,[4]Лист1!$A$176:$IV$176</definedName>
    <definedName name="ё_зкр">[4]Лист1!$C$1:$E$65536</definedName>
    <definedName name="ё_итого_группа">[4]Лист1!$L$1:$Q$65536</definedName>
    <definedName name="ё_нас">[4]Хотмыжск!#REF!</definedName>
    <definedName name="ё_пкр">[4]Хотмыжск!#REF!</definedName>
    <definedName name="ё_пткр">[4]Хотмыжск!#REF!</definedName>
    <definedName name="ё_рц">[4]Лист1!$R$1:$T$65536</definedName>
    <definedName name="ё_скр">[4]Лист1!$F$1:$H$65536</definedName>
    <definedName name="ё_СубХ_КФВ_Ссуды">[4]Лист1!$A$178:$IV$178,[4]Лист1!$A$182:$IV$182,[4]Лист1!$A$184:$IV$184,[4]Лист1!$A$186:$IV$186</definedName>
    <definedName name="ё_СубХолд">[4]Лист1!$R$1:$T$65536</definedName>
    <definedName name="е4е" hidden="1">{"glc1",#N/A,FALSE,"GLC";"glc2",#N/A,FALSE,"GLC";"glc3",#N/A,FALSE,"GLC";"glc4",#N/A,FALSE,"GLC";"glc5",#N/A,FALSE,"GLC"}</definedName>
    <definedName name="е6ненке">[0]!е6ненке</definedName>
    <definedName name="еакдгн">[0]!еакдгн</definedName>
    <definedName name="еакнп">[0]!еакнп</definedName>
    <definedName name="еарпр">[0]!еарпр</definedName>
    <definedName name="ев">[52]восст!$O$3</definedName>
    <definedName name="Евд_масло_неопл">[4]Лист1!$L$157</definedName>
    <definedName name="евлелнл">[0]!евлелнл</definedName>
    <definedName name="евро">#REF!</definedName>
    <definedName name="Евро_расход">'[60]Плановые курсы валют'!$D$3</definedName>
    <definedName name="евуекн">[0]!евуекн</definedName>
    <definedName name="евшенген">[0]!евшенген</definedName>
    <definedName name="ег6575">[0]!ег6575</definedName>
    <definedName name="еге">[0]!еге</definedName>
    <definedName name="егеге">[0]!егеге</definedName>
    <definedName name="егегекгн">[0]!егегекгн</definedName>
    <definedName name="егегкгкн">[0]!егегкгкн</definedName>
    <definedName name="егекгекн">[0]!егекгекн</definedName>
    <definedName name="егекн">[0]!егекн</definedName>
    <definedName name="еген">[0]!еген</definedName>
    <definedName name="егенг">[0]!егенг</definedName>
    <definedName name="егенген">[0]!егенген</definedName>
    <definedName name="егенгешеш">[0]!егенгешеш</definedName>
    <definedName name="егео">[0]!егео</definedName>
    <definedName name="егеунге">[0]!егеунге</definedName>
    <definedName name="ЕГИ">[63]Баланс95!#REF!</definedName>
    <definedName name="егкгенгк">[0]!егкгенгк</definedName>
    <definedName name="егкгкен">[0]!егкгкен</definedName>
    <definedName name="егкгцг">[0]!егкгцг</definedName>
    <definedName name="егкегекгн">[0]!егкегекгн</definedName>
    <definedName name="егкенгек">[0]!егкенгек</definedName>
    <definedName name="егкеог">[0]!егкеог</definedName>
    <definedName name="егкешкншкнш">[0]!егкешкншкнш</definedName>
    <definedName name="егкшелшн">[0]!егкшелшн</definedName>
    <definedName name="егнпг">[0]!егнпг</definedName>
    <definedName name="егнуег">[0]!егнуег</definedName>
    <definedName name="егон7">[0]!егон7</definedName>
    <definedName name="егуге">[0]!егуге</definedName>
    <definedName name="егуен">[0]!егуен</definedName>
    <definedName name="егуенгек">[0]!егуенгек</definedName>
    <definedName name="егукегк">[0]!егукегк</definedName>
    <definedName name="егукроген">[0]!егукроген</definedName>
    <definedName name="егшкенг">[0]!егшкенг</definedName>
    <definedName name="егшлпнд">[0]!егшлпнд</definedName>
    <definedName name="Ед1.">[4]Лист1!#REF!</definedName>
    <definedName name="едизм">[64]Титул!$E$29:$E$31</definedName>
    <definedName name="ее" hidden="1">{#N/A,#N/A,FALSE,"Virgin Flightdeck"}</definedName>
    <definedName name="ее5н5гнгн">[0]!ее5н5гнгн</definedName>
    <definedName name="еегег">[0]!еегег</definedName>
    <definedName name="ееее">#REF!</definedName>
    <definedName name="еееееее">[0]!еееееее</definedName>
    <definedName name="ееееееееееееееее">[0]!ееееееееееееееее</definedName>
    <definedName name="еееееееееееееееее">[0]!еееееееееееееееее</definedName>
    <definedName name="еееноген">[0]!еееноген</definedName>
    <definedName name="еекгене">[0]!еекгене</definedName>
    <definedName name="еекнкнг">[0]!еекнкнг</definedName>
    <definedName name="еекуек">[0]!еекуек</definedName>
    <definedName name="еенген">[0]!еенген</definedName>
    <definedName name="еенгук">[0]!еенгук</definedName>
    <definedName name="еенкг">[0]!еенкг</definedName>
    <definedName name="ееногкен">[0]!ееногкен</definedName>
    <definedName name="ееоокен">[0]!ееоокен</definedName>
    <definedName name="екв">[0]!екв</definedName>
    <definedName name="еквенген">[0]!еквенген</definedName>
    <definedName name="екгекрге">[0]!екгекрге</definedName>
    <definedName name="екгенгекн">[0]!екгенгекн</definedName>
    <definedName name="екгенгуен">[0]!екгенгуен</definedName>
    <definedName name="екгеншнгш">[0]!екгеншнгш</definedName>
    <definedName name="екгкгн">[0]!екгкгн</definedName>
    <definedName name="екгкеге">[0]!екгкеге</definedName>
    <definedName name="екгкегек">[0]!екгкегек</definedName>
    <definedName name="екгкенг">[0]!екгкенг</definedName>
    <definedName name="екгн">[0]!екгн</definedName>
    <definedName name="екгнке">[0]!екгнке</definedName>
    <definedName name="екгнкегек">[0]!екгнкегек</definedName>
    <definedName name="екгперопо">[0]!екгперопо</definedName>
    <definedName name="екгу5нуе">[0]!екгу5нуе</definedName>
    <definedName name="екгукгеу">[0]!екгукгеу</definedName>
    <definedName name="екгукег">[0]!екгукег</definedName>
    <definedName name="екгц">[0]!екгц</definedName>
    <definedName name="екеен">[0]!екеен</definedName>
    <definedName name="екенгекг">[0]!екенгекг</definedName>
    <definedName name="екенкуг">[0]!екенкуг</definedName>
    <definedName name="екеогекг">[0]!екеогекг</definedName>
    <definedName name="екеого">[0]!екеого</definedName>
    <definedName name="екеоншуе">[0]!екеоншуе</definedName>
    <definedName name="екешкншкнш">[0]!екешкншкнш</definedName>
    <definedName name="еккген">[0]!еккген</definedName>
    <definedName name="еккн">[0]!еккн</definedName>
    <definedName name="еккнк">[0]!еккнк</definedName>
    <definedName name="екнгекг">[0]!екнгекг</definedName>
    <definedName name="екнгекн">[0]!екнгекн</definedName>
    <definedName name="екнгенг">[0]!екнгенг</definedName>
    <definedName name="екнгкенк">[0]!екнгкенк</definedName>
    <definedName name="екнк6нге">[0]!екнк6нге</definedName>
    <definedName name="екнкг">[0]!екнкг</definedName>
    <definedName name="екнкенкогк">[0]!екнкенкогк</definedName>
    <definedName name="екнкнк">[0]!екнкнк</definedName>
    <definedName name="екннун">[0]!екннун</definedName>
    <definedName name="екнугенг">[0]!екнугенг</definedName>
    <definedName name="екнуенгек">[0]!екнуенгек</definedName>
    <definedName name="екнукенук">[0]!екнукенук</definedName>
    <definedName name="екнукненге">[0]!екнукненге</definedName>
    <definedName name="екнуну">[0]!екнуну</definedName>
    <definedName name="екнцек">[0]!екнцек</definedName>
    <definedName name="екнцк">[0]!екнцк</definedName>
    <definedName name="екншкншкн">[0]!екншкншкн</definedName>
    <definedName name="еко">[0]!еко</definedName>
    <definedName name="ековправс">[0]!ековправс</definedName>
    <definedName name="екогеногуе">[0]!екогеногуе</definedName>
    <definedName name="екогуео">[0]!екогуео</definedName>
    <definedName name="екогукш">[0]!екогукш</definedName>
    <definedName name="екоео">[0]!екоео</definedName>
    <definedName name="еколвеконен">[0]!еколвеконен</definedName>
    <definedName name="екоуоенр">[0]!екоуоенр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ныцеку">[0]!екрныцеку</definedName>
    <definedName name="екро">[0]!екро</definedName>
    <definedName name="екрпраеврр">[0]!екрпраеврр</definedName>
    <definedName name="екуген">[0]!екуген</definedName>
    <definedName name="екугенг">[0]!екугенг</definedName>
    <definedName name="екуег">[0]!екуег</definedName>
    <definedName name="екуенгкерог">[0]!екуенгкерог</definedName>
    <definedName name="екуенукг">[0]!екуенукг</definedName>
    <definedName name="екуеу" hidden="1">{#N/A,#N/A,FALSE,"Virgin Flightdeck"}</definedName>
    <definedName name="екукн">[0]!екукн</definedName>
    <definedName name="екуну">[0]!екуну</definedName>
    <definedName name="елалпел">[0]!елалпел</definedName>
    <definedName name="елнлнл">[0]!елнлнл</definedName>
    <definedName name="ен" hidden="1">{#N/A,#N/A,FALSE,"Virgin Flightdeck"}</definedName>
    <definedName name="енвегенг">[0]!енвегенг</definedName>
    <definedName name="енг">[4]Изменения!$V$2</definedName>
    <definedName name="енгакншщег">[0]!енгакншщег</definedName>
    <definedName name="енгеге">[0]!енгеге</definedName>
    <definedName name="енгегег">[0]!енгегег</definedName>
    <definedName name="енгегенг">[0]!енгегенг</definedName>
    <definedName name="енгегенген">[0]!енгегенген</definedName>
    <definedName name="енгегеу">[0]!енгегеу</definedName>
    <definedName name="енгегуг">[0]!енгегуг</definedName>
    <definedName name="енгекнгук">[0]!енгекнгук</definedName>
    <definedName name="енгенге">[0]!енгенге</definedName>
    <definedName name="енгенгегеп">[0]!енгенгегеп</definedName>
    <definedName name="енгенгее">[0]!енгенгее</definedName>
    <definedName name="енгенген">[0]!енгенген</definedName>
    <definedName name="енгенгенг">[0]!енгенгенг</definedName>
    <definedName name="енгенгенге">[0]!енгенгенге</definedName>
    <definedName name="енгенгуге">[0]!енгенгуге</definedName>
    <definedName name="енгеншенш">[0]!енгеншенш</definedName>
    <definedName name="енгешген">[0]!енгешген</definedName>
    <definedName name="енгк6">[0]!енгк6</definedName>
    <definedName name="енгкгшк">[0]!енгкгшк</definedName>
    <definedName name="енгке">[0]!енгке</definedName>
    <definedName name="енгкегк">[0]!енгкегк</definedName>
    <definedName name="енгкен">[0]!енгкен</definedName>
    <definedName name="енгкенге">[0]!енгкенге</definedName>
    <definedName name="енгкенк">[0]!енгкенк</definedName>
    <definedName name="енгкн">[0]!енгкн</definedName>
    <definedName name="енгкнгшкщен">[0]!енгкнгшкщен</definedName>
    <definedName name="енгконгкн">[0]!енгконгкн</definedName>
    <definedName name="енгнг">[0]!енгнг</definedName>
    <definedName name="енгнгкен">[0]!енгнгкен</definedName>
    <definedName name="енгнгшеп">[0]!енгнгшеп</definedName>
    <definedName name="енгншешен">[0]!енгншешен</definedName>
    <definedName name="енгнщенг">[0]!енгнщенг</definedName>
    <definedName name="енгоенуе">[0]!енгоенуе</definedName>
    <definedName name="енгокг">[0]!енгокг</definedName>
    <definedName name="енгокнгк">[0]!енгокнгк</definedName>
    <definedName name="енгоуен">[0]!енгоуен</definedName>
    <definedName name="енгу">[0]!енгу</definedName>
    <definedName name="енгугн">[0]!енгугн</definedName>
    <definedName name="енгугу">[0]!енгугу</definedName>
    <definedName name="енгуе">[0]!енгуе</definedName>
    <definedName name="енгуеген">[0]!енгуеген</definedName>
    <definedName name="енгуен">[0]!енгуен</definedName>
    <definedName name="енгуенгу">[0]!енгуенгу</definedName>
    <definedName name="енгуенгук">[0]!енгуенгук</definedName>
    <definedName name="енгуену">[0]!енгуену</definedName>
    <definedName name="енгукенг">[0]!енгукенг</definedName>
    <definedName name="енгукенк">[0]!енгукенк</definedName>
    <definedName name="енгуоу">[0]!енгуоу</definedName>
    <definedName name="енгууен">[0]!енгууен</definedName>
    <definedName name="енгш">[0]!енгш</definedName>
    <definedName name="енгшегкек">[0]!енгшегкек</definedName>
    <definedName name="енгшнг">[0]!енгшнг</definedName>
    <definedName name="енгшнгшпнгш">[0]!енгшнгшпнгш</definedName>
    <definedName name="енгщгдш">[0]!енгщгдш</definedName>
    <definedName name="енегенген">[0]!енегенген</definedName>
    <definedName name="енеешеше">[0]!енеешеше</definedName>
    <definedName name="енекне">[0]!енекне</definedName>
    <definedName name="енекнк">[0]!енекнк</definedName>
    <definedName name="енекнугну">[0]!енекнугну</definedName>
    <definedName name="енелшена">[0]!енелшена</definedName>
    <definedName name="енен">[0]!енен</definedName>
    <definedName name="ененг" hidden="1">[23]MAIN!#REF!</definedName>
    <definedName name="ененгву">[0]!ененгву</definedName>
    <definedName name="ененгег">[0]!ененгег</definedName>
    <definedName name="ененгенг">[0]!ененгенг</definedName>
    <definedName name="ененгенн">[0]!ененгенн</definedName>
    <definedName name="ененгу">[0]!ененгу</definedName>
    <definedName name="енененк">[0]!енененк</definedName>
    <definedName name="енененше">[0]!енененше</definedName>
    <definedName name="ененнеен" hidden="1">#N/A</definedName>
    <definedName name="ененун">[0]!ененун</definedName>
    <definedName name="ененшен">[0]!ененшен</definedName>
    <definedName name="ененшенше">[0]!ененшенше</definedName>
    <definedName name="енеша">[0]!енеша</definedName>
    <definedName name="енеше">[0]!енеше</definedName>
    <definedName name="енешеге">[0]!енешеге</definedName>
    <definedName name="енешен">[0]!енешен</definedName>
    <definedName name="енешене">[0]!енешене</definedName>
    <definedName name="енешенен">[0]!енешенен</definedName>
    <definedName name="енешеше">[0]!енешеше</definedName>
    <definedName name="енешкшн">[0]!енешкшн</definedName>
    <definedName name="енке">[0]!енке</definedName>
    <definedName name="енкегк">[0]!енкегк</definedName>
    <definedName name="енкегуг">[0]!енкегуг</definedName>
    <definedName name="енкенг">[0]!енкенг</definedName>
    <definedName name="енкенгеу">[0]!енкенгеу</definedName>
    <definedName name="енкенукнук">[0]!енкенукнук</definedName>
    <definedName name="енкеоке">[0]!енкеоке</definedName>
    <definedName name="енккук">[0]!енккук</definedName>
    <definedName name="енкн">[0]!енкн</definedName>
    <definedName name="енкн6к5н6к">[0]!енкн6к5н6к</definedName>
    <definedName name="енкнгк">[0]!енкнгк</definedName>
    <definedName name="енкнгкнг">[0]!енкнгкнг</definedName>
    <definedName name="енкну">[0]!енкну</definedName>
    <definedName name="енкнук">[0]!енкнук</definedName>
    <definedName name="енкнукн">[0]!енкнукн</definedName>
    <definedName name="енкуегеун">[0]!енкуегеун</definedName>
    <definedName name="енленлщгнш">[0]!енленлщгнш</definedName>
    <definedName name="енлщкнлщ">[0]!енлщкнлщ</definedName>
    <definedName name="енннннннннне">[0]!енннннннннне</definedName>
    <definedName name="енннннннннннн">[0]!енннннннннннн</definedName>
    <definedName name="енншнш">[0]!енншнш</definedName>
    <definedName name="ено">[0]!ено</definedName>
    <definedName name="еноаекглон">[0]!еноаекглон</definedName>
    <definedName name="еновел">[0]!еновел</definedName>
    <definedName name="еновен">[0]!еновен</definedName>
    <definedName name="еног">[0]!еног</definedName>
    <definedName name="еногаенан">[0]!еногаенан</definedName>
    <definedName name="еногег">[0]!еногег</definedName>
    <definedName name="еноген">[0]!еноген</definedName>
    <definedName name="еногенвк">[0]!еногенвк</definedName>
    <definedName name="еногенге">[0]!еногенге</definedName>
    <definedName name="еногенген">[0]!еногенген</definedName>
    <definedName name="еногенгок">[0]!еногенгок</definedName>
    <definedName name="еногенло">'[65]Метод остатка'!#REF!</definedName>
    <definedName name="еногено">[0]!еногено</definedName>
    <definedName name="еногеноге">[0]!еногеноге</definedName>
    <definedName name="еногкг">[0]!еногкг</definedName>
    <definedName name="еногкгк">[0]!еногкгк</definedName>
    <definedName name="еногкгкен">[0]!еногкгкен</definedName>
    <definedName name="еногкгл">[0]!еногкгл</definedName>
    <definedName name="еногке">[0]!еногке</definedName>
    <definedName name="еногкегок">[0]!еногкегок</definedName>
    <definedName name="еногкен">[0]!еногкен</definedName>
    <definedName name="еногкеногк">[0]!еногкеногк</definedName>
    <definedName name="еногкн">[0]!еногкн</definedName>
    <definedName name="еногкнг">[0]!еногкнг</definedName>
    <definedName name="еногкнгек">[0]!еногкнгек</definedName>
    <definedName name="еногкнгко">[0]!еногкнгко</definedName>
    <definedName name="еногкношн">[0]!еногкношн</definedName>
    <definedName name="еное">[0]!еное</definedName>
    <definedName name="еноевл">[0]!еноевл</definedName>
    <definedName name="еноен">[0]!еноен</definedName>
    <definedName name="еноено">[0]!еноено</definedName>
    <definedName name="еноеноге">[0]!еноеноге</definedName>
    <definedName name="еноеноуе">[0]!еноеноуе</definedName>
    <definedName name="еноеон">[0]!еноеон</definedName>
    <definedName name="енокенлкн">[0]!енокенлкн</definedName>
    <definedName name="енокенн">[0]!енокенн</definedName>
    <definedName name="енокогк">[0]!енокогк</definedName>
    <definedName name="енопе">[0]!енопе</definedName>
    <definedName name="енопо">[0]!енопо</definedName>
    <definedName name="енорео">[0]!енорео</definedName>
    <definedName name="еноуено">[0]!еноуено</definedName>
    <definedName name="еноукерон">[0]!еноукерон</definedName>
    <definedName name="еноуло">[0]!еноуло</definedName>
    <definedName name="еноцкеоек">[0]!еноцкеоек</definedName>
    <definedName name="енпнг">[0]!енпнг</definedName>
    <definedName name="енрнро" hidden="1">{"'Prices'!$A$4:$J$27"}</definedName>
    <definedName name="енуг">[0]!енуг</definedName>
    <definedName name="енугке">[0]!енугке</definedName>
    <definedName name="енуег">[0]!енуег</definedName>
    <definedName name="енуегенгенг">[0]!енуегенгенг</definedName>
    <definedName name="енуелшуег">[0]!енуелшуег</definedName>
    <definedName name="енуен">[0]!енуен</definedName>
    <definedName name="енуенгег">[0]!енуенгег</definedName>
    <definedName name="енуенук">[0]!енуенук</definedName>
    <definedName name="енуеншуе">[0]!енуеншуе</definedName>
    <definedName name="енуеуенгу">[0]!енуеуенгу</definedName>
    <definedName name="енукгке">[0]!енукгке</definedName>
    <definedName name="енукгуег">[0]!енукгуег</definedName>
    <definedName name="енукеген">[0]!енукеген</definedName>
    <definedName name="енукекуен">[0]!енукекуен</definedName>
    <definedName name="енукенен">[0]!енукенен</definedName>
    <definedName name="енукенуен">[0]!енукенуен</definedName>
    <definedName name="енукеук">[0]!енукеук</definedName>
    <definedName name="енукне">[0]!енукне</definedName>
    <definedName name="енукно">[0]!енукно</definedName>
    <definedName name="енукрег">[0]!енукрег</definedName>
    <definedName name="енун">[0]!енун</definedName>
    <definedName name="енуогенгоекн">[0]!енуогенгоекн</definedName>
    <definedName name="енуукгнеу">[0]!енуукгнеу</definedName>
    <definedName name="енфрыпе" hidden="1">{"glc1",#N/A,FALSE,"GLC";"glc2",#N/A,FALSE,"GLC";"glc3",#N/A,FALSE,"GLC";"glc4",#N/A,FALSE,"GLC";"glc5",#N/A,FALSE,"GLC"}</definedName>
    <definedName name="енцкоек">[0]!енцкоек</definedName>
    <definedName name="еншаеае">[0]!еншаеае</definedName>
    <definedName name="еншан6щнг">[0]!еншан6щнг</definedName>
    <definedName name="еншвеш">[0]!еншвеш</definedName>
    <definedName name="еншега">[0]!еншега</definedName>
    <definedName name="еншегенге">[0]!еншегенге</definedName>
    <definedName name="еншенгег">[0]!еншенгег</definedName>
    <definedName name="еншенгекке">[0]!еншенгекке</definedName>
    <definedName name="еншенгшн">[0]!еншенгшн</definedName>
    <definedName name="еншенен">[0]!еншенен</definedName>
    <definedName name="еншенш">[0]!еншенш</definedName>
    <definedName name="еншеншдншгщ">[0]!еншеншдншгщ</definedName>
    <definedName name="еншенше">[0]!еншенше</definedName>
    <definedName name="еншеншнгш">[0]!еншеншнгш</definedName>
    <definedName name="еншешен">[0]!еншешен</definedName>
    <definedName name="еншканг">[0]!еншканг</definedName>
    <definedName name="еншке">[0]!еншке</definedName>
    <definedName name="еншкнгнш">[0]!еншкнгнш</definedName>
    <definedName name="еншкнгшенгш">[0]!еншкнгшенгш</definedName>
    <definedName name="еншкнеке">[0]!еншкнеке</definedName>
    <definedName name="еншлуен">[0]!еншлуен</definedName>
    <definedName name="еншнг">[0]!еншнг</definedName>
    <definedName name="еншнгнг">[0]!еншнгнг</definedName>
    <definedName name="еншнгш">[0]!еншнгш</definedName>
    <definedName name="еншнгшкн">[0]!еншнгшкн</definedName>
    <definedName name="еншнгшн">[0]!еншнгшн</definedName>
    <definedName name="еншнгшнгш">[0]!еншнгшнгш</definedName>
    <definedName name="еншншенг">[0]!еншншенг</definedName>
    <definedName name="еншншнш">[0]!еншншнш</definedName>
    <definedName name="еншу5щну">[0]!еншу5щну</definedName>
    <definedName name="ео">[0]!ео</definedName>
    <definedName name="еов">[0]!еов</definedName>
    <definedName name="еово">[0]!еово</definedName>
    <definedName name="еовыеоеноен">[0]!еовыеоеноен</definedName>
    <definedName name="еоггоео">[0]!еоггоео</definedName>
    <definedName name="еогегше">[0]!еогегше</definedName>
    <definedName name="еогеног">[0]!еогеног</definedName>
    <definedName name="еогке">[0]!еогке</definedName>
    <definedName name="еогкенк">[0]!еогкенк</definedName>
    <definedName name="еогнеорон">[0]!еогнеорон</definedName>
    <definedName name="еогуен">[0]!еогуен</definedName>
    <definedName name="еое">[0]!еое</definedName>
    <definedName name="еоенек">[0]!еоенек</definedName>
    <definedName name="еоеног">[0]!еоеног</definedName>
    <definedName name="еоео">[0]!еоео</definedName>
    <definedName name="еоеогоо">[0]!еоеогоо</definedName>
    <definedName name="еокеог">[0]!еокеог</definedName>
    <definedName name="еокеоревн">[0]!еокеоревн</definedName>
    <definedName name="еолен">[0]!еолен</definedName>
    <definedName name="еолн">[0]!еолн</definedName>
    <definedName name="еоне">[0]!еоне</definedName>
    <definedName name="еоное">[0]!еоное</definedName>
    <definedName name="еопрлр">[0]!еопрлр</definedName>
    <definedName name="еоуело">[0]!еоуело</definedName>
    <definedName name="еоуенуе">[0]!еоуенуе</definedName>
    <definedName name="еоуенуен">[0]!еоуенуен</definedName>
    <definedName name="еоуеоле">[0]!еоуеоле</definedName>
    <definedName name="еоулно">[0]!еоулно</definedName>
    <definedName name="еошне">[0]!еошне</definedName>
    <definedName name="еоывкаер">[0]!еоывкаер</definedName>
    <definedName name="епаво" hidden="1">{"glc1",#N/A,FALSE,"GLC";"glc2",#N/A,FALSE,"GLC";"glc3",#N/A,FALSE,"GLC";"glc4",#N/A,FALSE,"GLC";"glc5",#N/A,FALSE,"GLC"}</definedName>
    <definedName name="епакв" hidden="1">{"ÜBER mit FW","THU",FALSE,"HORE KORR!";"ÜBERSICHT",#N/A,FALSE,"BUDGET 1997_98";"ÜBER mit FW",#N/A,FALSE,"IST KUM KORR!!";"ÜBERSICHT",#N/A,FALSE,"PLAN KUM"}</definedName>
    <definedName name="епаорнл">[0]!епаорнл</definedName>
    <definedName name="епкрв">[0]!епкрв</definedName>
    <definedName name="епнлвен">[0]!епнлвен</definedName>
    <definedName name="епншншн">[0]!епншншн</definedName>
    <definedName name="ервово">[0]!ервово</definedName>
    <definedName name="ервоепопо">[0]!ервоепопо</definedName>
    <definedName name="еркенк">[0]!еркенк</definedName>
    <definedName name="еркеокен">[0]!еркеокен</definedName>
    <definedName name="еркер" hidden="1">{"'Prices'!$A$4:$J$27"}</definedName>
    <definedName name="ернвкевкве">[0]!ернвкевкве</definedName>
    <definedName name="ерр">[0]!ерр</definedName>
    <definedName name="ерцыукр">[0]!ерцыукр</definedName>
    <definedName name="ерывк">[0]!ерывк</definedName>
    <definedName name="еугегуе">[0]!еугегуе</definedName>
    <definedName name="еугекгу">[0]!еугекгу</definedName>
    <definedName name="еугену">[0]!еугену</definedName>
    <definedName name="еугеуен">[0]!еугеуен</definedName>
    <definedName name="еугу">[0]!еугу</definedName>
    <definedName name="еуеген">[0]!еуеген</definedName>
    <definedName name="еуекег">[0]!еуекег</definedName>
    <definedName name="еуенгекн">[0]!еуенгекн</definedName>
    <definedName name="еуенгкенг">[0]!еуенгкенг</definedName>
    <definedName name="ЕУК" hidden="1">{#N/A,#N/A,TRUE,"Буржуям"}</definedName>
    <definedName name="еукг">[0]!еукг</definedName>
    <definedName name="еукгенгуег">[0]!еукгенгуег</definedName>
    <definedName name="еукгуг">[0]!еукгуг</definedName>
    <definedName name="еукегкгк">[0]!еукегкгк</definedName>
    <definedName name="еукегуе">[0]!еукегуе</definedName>
    <definedName name="еукенекн">[0]!еукенекн</definedName>
    <definedName name="еукенуг">[0]!еукенуг</definedName>
    <definedName name="еукенуе">[0]!еукенуе</definedName>
    <definedName name="еукео">[0]!еукео</definedName>
    <definedName name="еукеукк">[0]!еукеукк</definedName>
    <definedName name="еукеуог">[0]!еукеуог</definedName>
    <definedName name="еукнгуег">[0]!еукнгуег</definedName>
    <definedName name="еукнену">[0]!еукнену</definedName>
    <definedName name="еукнкеу">[0]!еукнкеу</definedName>
    <definedName name="еукнн">[0]!еукнн</definedName>
    <definedName name="еукуекн">[0]!еукуекн</definedName>
    <definedName name="еукыекуг">[0]!еукыекуг</definedName>
    <definedName name="еуое">[0]!еуое</definedName>
    <definedName name="ефефееффефе" hidden="1">{"glc1",#N/A,FALSE,"GLC";"glc2",#N/A,FALSE,"GLC";"glc3",#N/A,FALSE,"GLC";"glc4",#N/A,FALSE,"GLC";"glc5",#N/A,FALSE,"GLC"}</definedName>
    <definedName name="ешгкщнгш">[0]!ешгкщнгш</definedName>
    <definedName name="ешеншенгшн">[0]!ешеншенгшн</definedName>
    <definedName name="ешкнгшк">[0]!ешкнгшк</definedName>
    <definedName name="ешнаеш">[0]!ешнаеш</definedName>
    <definedName name="ешншщнг">[0]!ешншщнг</definedName>
    <definedName name="еыекнц">[0]!еыекнц</definedName>
    <definedName name="еыеоыкое">[0]!еыеоыкое</definedName>
    <definedName name="еынокер">[0]!еынокер</definedName>
    <definedName name="ж" hidden="1">{#N/A,#N/A,FALSE,"Virgin Flightdeck"}</definedName>
    <definedName name="Ж.БЕТОН">'[34]см. ЦЕНЫ '!$B$34</definedName>
    <definedName name="ж\" hidden="1">{"'Prices'!$A$4:$J$27"}</definedName>
    <definedName name="жак" hidden="1">{"assets",#N/A,FALSE,"historicBS";"liab",#N/A,FALSE,"historicBS";"is",#N/A,FALSE,"historicIS";"ratios",#N/A,FALSE,"ratios"}</definedName>
    <definedName name="ЖД">[4]Лист1!$E$57</definedName>
    <definedName name="ждл" hidden="1">{"'Prices'!$A$4:$J$27"}</definedName>
    <definedName name="ждлор" hidden="1">{"Output-Min",#N/A,FALSE,"Output"}</definedName>
    <definedName name="ждлфпр" hidden="1">{"glc1",#N/A,FALSE,"GLC";"glc2",#N/A,FALSE,"GLC";"glc3",#N/A,FALSE,"GLC";"glc4",#N/A,FALSE,"GLC";"glc5",#N/A,FALSE,"GLC"}</definedName>
    <definedName name="ждо">#REF!</definedName>
    <definedName name="ждшн2" hidden="1">{"glc1",#N/A,FALSE,"GLC";"glc2",#N/A,FALSE,"GLC";"glc3",#N/A,FALSE,"GLC";"glc4",#N/A,FALSE,"GLC";"glc5",#N/A,FALSE,"GLC"}</definedName>
    <definedName name="железобетон">#REF!</definedName>
    <definedName name="жжж" hidden="1">{"glc1",#N/A,FALSE,"GLC";"glc2",#N/A,FALSE,"GLC";"glc3",#N/A,FALSE,"GLC";"glc4",#N/A,FALSE,"GLC";"glc5",#N/A,FALSE,"GLC"}</definedName>
    <definedName name="жз">[4]Изменения!$J$22</definedName>
    <definedName name="Жилая_площадь">#REF!</definedName>
    <definedName name="жилпом">[66]Concept!#REF!</definedName>
    <definedName name="жом">[4]Лист1!$G$89</definedName>
    <definedName name="жом_сс">[4]Лист1!$F$34</definedName>
    <definedName name="жппывнгд" hidden="1">{"glc1",#N/A,FALSE,"GLC";"glc2",#N/A,FALSE,"GLC";"glc3",#N/A,FALSE,"GLC";"glc4",#N/A,FALSE,"GLC";"glc5",#N/A,FALSE,"GLC"}</definedName>
    <definedName name="жрд">#REF!</definedName>
    <definedName name="з">#REF!</definedName>
    <definedName name="з_0">[4]Лист1!$AO$14</definedName>
    <definedName name="з_10">[4]Лист1!$AO$40</definedName>
    <definedName name="з_11">[4]Лист1!$AO$42</definedName>
    <definedName name="з_12">[4]Лист1!$AO$43</definedName>
    <definedName name="з_13">[4]Лист1!$AO$44</definedName>
    <definedName name="з_14">[4]Лист1!$AO$45</definedName>
    <definedName name="з_15">[4]Лист1!$AO$46</definedName>
    <definedName name="з_16">[4]Лист1!$AO$47</definedName>
    <definedName name="з_17">[4]Лист1!$AO$48</definedName>
    <definedName name="з_18">[4]Лист1!$AO$49</definedName>
    <definedName name="З_19">[4]Лист1!$AO$50</definedName>
    <definedName name="з_2">[4]Лист1!$AO$39</definedName>
    <definedName name="з_20">[4]Лист1!$AO$51</definedName>
    <definedName name="з_21">[4]Лист1!$AO$52</definedName>
    <definedName name="з_22">[4]Лист1!$AO$53</definedName>
    <definedName name="з_24">[4]Лист1!$AO$56</definedName>
    <definedName name="з_25">[4]Лист1!$AO$57</definedName>
    <definedName name="з_26">[4]Лист1!$AO$58</definedName>
    <definedName name="з_27">[4]Лист1!$AO$59</definedName>
    <definedName name="з_28">[4]Лист1!$AO$60</definedName>
    <definedName name="з_3">[4]Лист1!$AO$29</definedName>
    <definedName name="з_30">[4]Лист1!$AO$61</definedName>
    <definedName name="з_32">[4]Лист1!$AO$62</definedName>
    <definedName name="з_3кл">[4]Лист1!$N$21</definedName>
    <definedName name="з_4">[4]Лист1!$AO$30</definedName>
    <definedName name="з_5">[4]Лист1!$AO$31</definedName>
    <definedName name="з_7">[4]Лист1!$AO$32</definedName>
    <definedName name="з_8">[4]Лист1!$AO$33</definedName>
    <definedName name="з_9">[4]Лист1!$AO$34</definedName>
    <definedName name="З_Выработка">#REF!</definedName>
    <definedName name="з_зер">[4]Лист1!$AO$54</definedName>
    <definedName name="з_зер1">[4]Лист1!$AP$54</definedName>
    <definedName name="з_к">[4]Лист1!$AP$37</definedName>
    <definedName name="з_к1">[4]Лист1!$AO$37</definedName>
    <definedName name="з_мр">[4]Лист1!$N$23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ОтчетПоВсемПлатежамФакт">#REF!</definedName>
    <definedName name="з_пф">[4]Лист1!$N$19</definedName>
    <definedName name="З_Рента">#REF!</definedName>
    <definedName name="З_СС">#REF!</definedName>
    <definedName name="з_яч">[4]Лист1!$N$20</definedName>
    <definedName name="з1">[4]Лист1!$AO$15</definedName>
    <definedName name="з2">[4]Лист1!$AO$15</definedName>
    <definedName name="ЗCС.нефть">#REF!</definedName>
    <definedName name="забор">#REF!</definedName>
    <definedName name="Зав" hidden="1">{#N/A,#N/A,TRUE,"Буржуям"}</definedName>
    <definedName name="Завод_Металлоконструкций">'[67]Оплата по графикам'!#REF!</definedName>
    <definedName name="Заволовки_для_печати">#REF!</definedName>
    <definedName name="_xlnm.Print_Titles">#REF!</definedName>
    <definedName name="Заголовок_для_печати">#REF!</definedName>
    <definedName name="ЗАДАНИЕ" hidden="1">{#N/A,#N/A,TRUE,"Буржуям"}</definedName>
    <definedName name="ЗАДАНИЕ." hidden="1">{#VALUE!,#N/A,TRUE,0}</definedName>
    <definedName name="задел" hidden="1">{#N/A,#N/A,TRUE,"Буржуям"}</definedName>
    <definedName name="заделкистены">#REF!</definedName>
    <definedName name="заз" hidden="1">{"Inflation-BaseYear",#N/A,FALSE,"Inputs"}</definedName>
    <definedName name="Займ">#REF!</definedName>
    <definedName name="зак_д">#REF!</definedName>
    <definedName name="заказ" hidden="1">{#N/A,#N/A,TRUE,"Буржуям"}</definedName>
    <definedName name="Заказчик">#REF!</definedName>
    <definedName name="Закупка">[4]Лист1!$AM$90</definedName>
    <definedName name="зап">#REF!</definedName>
    <definedName name="Зап_всего">#REF!</definedName>
    <definedName name="зарп" hidden="1">{#N/A,#N/A,TRUE,"Буржуям"}</definedName>
    <definedName name="застройка">#REF!</definedName>
    <definedName name="Застройщик">#REF!</definedName>
    <definedName name="затратн">#REF!</definedName>
    <definedName name="Затратный">#REF!</definedName>
    <definedName name="затраты">#REF!</definedName>
    <definedName name="затраты_труда">#REF!</definedName>
    <definedName name="Затрнов">'[55]общие сведения'!$B$7</definedName>
    <definedName name="защита">#REF!</definedName>
    <definedName name="здание_дисконт">#REF!</definedName>
    <definedName name="здлофы" hidden="1">{"glc1",#N/A,FALSE,"GLC";"glc2",#N/A,FALSE,"GLC";"glc3",#N/A,FALSE,"GLC";"glc4",#N/A,FALSE,"GLC";"glc5",#N/A,FALSE,"GLC"}</definedName>
    <definedName name="ЗДС.нефть">#REF!</definedName>
    <definedName name="ЗДС0.нефть">#REF!</definedName>
    <definedName name="ЗДС1.нефть">#REF!</definedName>
    <definedName name="зеленый" hidden="1">{#N/A,#N/A,TRUE,"Буржуям"}</definedName>
    <definedName name="зелень">#REF!</definedName>
    <definedName name="Зем_итог_ВТТ">'[4]Прочий товар'!$F$4</definedName>
    <definedName name="Земля_01">'[4]Хран сах '!#REF!</definedName>
    <definedName name="земля_03">'[4]Хран сах '!$F$84</definedName>
    <definedName name="земля_2002">'[4]Хран сах '!$F$60</definedName>
    <definedName name="земля1">'[68]Метод остатка'!#REF!</definedName>
    <definedName name="Земля2" hidden="1">{"glc1",#N/A,FALSE,"GLC";"glc2",#N/A,FALSE,"GLC";"glc3",#N/A,FALSE,"GLC";"glc4",#N/A,FALSE,"GLC";"glc5",#N/A,FALSE,"GLC"}</definedName>
    <definedName name="ЗЕМЛЯНЫЕ">#REF!</definedName>
    <definedName name="ЗемУ">[69]НФИк!$A$17</definedName>
    <definedName name="Зер">'[4]за месяц'!#REF!</definedName>
    <definedName name="зерно">[4]Лист1!#REF!</definedName>
    <definedName name="зерно_изм_сс">[4]Лист1!$AW$3:$AW$39</definedName>
    <definedName name="Зерносм_Курск_своб">[4]Лист1!$I$184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з" hidden="1">{#N/A,#N/A,TRUE,"Буржуям"}</definedName>
    <definedName name="ззх" hidden="1">{#N/A,#N/A,FALSE,"Virgin Flightdeck"}</definedName>
    <definedName name="зоны">#REF!</definedName>
    <definedName name="зпегшщпгшщ">[0]!зпегшщпгшщ</definedName>
    <definedName name="Зпл1">[4]Лист1!#REF!</definedName>
    <definedName name="ЗР">[4]Лист1!$F$29</definedName>
    <definedName name="ЗСДСП">[4]Лист1!$F$143</definedName>
    <definedName name="ЗСДСФ">[4]Лист1!$G$143</definedName>
    <definedName name="ЗСП">[4]Лист1!$D$143</definedName>
    <definedName name="ЗСПТН">[4]Лист1!$H$143</definedName>
    <definedName name="ЗСФ">[4]Лист1!$E$143</definedName>
    <definedName name="ЗСФТН">[4]Лист1!$I$143</definedName>
    <definedName name="ЗТ">[4]Лист1!$F$31</definedName>
    <definedName name="ЗУ">[29]НФИк!$A$17</definedName>
    <definedName name="ЗУ_Фаэтон">[70]НФИк!$A$17</definedName>
    <definedName name="зх">'[28]Метод остатка'!#REF!</definedName>
    <definedName name="зхщ">'[28]Метод остатка'!#REF!</definedName>
    <definedName name="зщдловны" hidden="1">#REF!</definedName>
    <definedName name="зщфтрыг" hidden="1">{"glc1",#N/A,FALSE,"GLC";"glc2",#N/A,FALSE,"GLC";"glc3",#N/A,FALSE,"GLC";"glc4",#N/A,FALSE,"GLC";"glc5",#N/A,FALSE,"GLC"}</definedName>
    <definedName name="и">#REF!</definedName>
    <definedName name="И_пот_тов">'[71]Машины и оборудование'!$E$56</definedName>
    <definedName name="И_Ср_Пр">'[71]Машины и оборудование'!$D$56</definedName>
    <definedName name="и45">#REF!</definedName>
    <definedName name="иЗз">[4]Лист1!$T$39</definedName>
    <definedName name="иЗм">[4]Лист1!$T$10</definedName>
    <definedName name="изм_всего_Ц">#REF!</definedName>
    <definedName name="изм_Ц">#REF!</definedName>
    <definedName name="изоленты">#REF!</definedName>
    <definedName name="иЗс">[4]Лист1!$T$14</definedName>
    <definedName name="ИКон">#REF!</definedName>
    <definedName name="ильюш.руб.">'[31]Гр+'!#REF!</definedName>
    <definedName name="ильюш.у.е.">'[31]Гр+'!#REF!</definedName>
    <definedName name="им" hidden="1">{"Приибыль энерг",#N/A,FALSE,"Энерг"}</definedName>
    <definedName name="има" hidden="1">{#VALUE!,#N/A,TRUE,0}</definedName>
    <definedName name="имена" hidden="1">{#N/A,#N/A,TRUE,"Буржуям"}</definedName>
    <definedName name="имущ">[62]списки!$E$2</definedName>
    <definedName name="Имя">[72]НФИк!$A$17</definedName>
    <definedName name="ИНач">#REF!</definedName>
    <definedName name="ИНВЕСИ">[35]П!#REF!</definedName>
    <definedName name="иНВЕСТ">[35]П!#REF!</definedName>
    <definedName name="ИнвестСвод">[73]ИнвестицииСвод!#REF!</definedName>
    <definedName name="инд">[72]график01.09.02!$D$3</definedName>
    <definedName name="Инд_цп_2000">#REF!</definedName>
    <definedName name="индекс">[21]Титул!$R$16</definedName>
    <definedName name="Индекс_композит">#REF!</definedName>
    <definedName name="Индекс_Пересчета">'[71]Здан-затр'!$C$83</definedName>
    <definedName name="Индекс_перехода">#REF!</definedName>
    <definedName name="Индекс_стоимости">[74]Служебный!$J$18</definedName>
    <definedName name="Индекс_цп">#REF!</definedName>
    <definedName name="Индексация">'[75]ЗП (Индексация)'!$A$3:$AM$356</definedName>
    <definedName name="ИНЕРТНЫЕ_СЫПУЧКА">'[34]см. ЦЕНЫ '!$B$160</definedName>
    <definedName name="Инт">[4]Лист1!#REF!</definedName>
    <definedName name="Инфл">#REF!</definedName>
    <definedName name="Инфраструктура_Infrastructure">[76]Inputs_Assumptions!$G$26</definedName>
    <definedName name="иОз">[4]Лист1!$U$39</definedName>
    <definedName name="иОм">[4]Лист1!$U$10</definedName>
    <definedName name="иОс">[4]Лист1!$U$14</definedName>
    <definedName name="Ира">[70]НФИк!$A$17</definedName>
    <definedName name="иргшщхэ">[0]!иргшщхэ</definedName>
    <definedName name="ирпваыгшл" hidden="1">{"glc1",#N/A,FALSE,"GLC";"glc2",#N/A,FALSE,"GLC";"glc3",#N/A,FALSE,"GLC";"glc4",#N/A,FALSE,"GLC";"glc5",#N/A,FALSE,"GLC"}</definedName>
    <definedName name="Испр.выработка">#REF!</definedName>
    <definedName name="исх">[77]Исходник!$A$2:$J$99</definedName>
    <definedName name="Исходные_данные">#REF!</definedName>
    <definedName name="ит">[4]Изменения!$D$30</definedName>
    <definedName name="ИтЗ">#REF!</definedName>
    <definedName name="иТо">[4]Лист1!$Z$54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03гр">#REF!</definedName>
    <definedName name="итог03руб.">#REF!</definedName>
    <definedName name="итог03у.е.">#REF!</definedName>
    <definedName name="итог04гр">#REF!</definedName>
    <definedName name="итог04руб">#REF!</definedName>
    <definedName name="итог04у.е.">#REF!</definedName>
    <definedName name="Итог1">#REF!</definedName>
    <definedName name="Итог2">#REF!</definedName>
    <definedName name="Итог3">[78]АБ!#REF!</definedName>
    <definedName name="ИТОГО_гречиха">[4]Лист1!$K$144</definedName>
    <definedName name="ИТОГО_гречиха_неопл">[4]Лист1!$L$144</definedName>
    <definedName name="Итого_гречиха_своб">[4]Лист1!$I$144</definedName>
    <definedName name="ИТОГО_закупка">[4]Лист1!$K$237</definedName>
    <definedName name="Итого_масло">[4]Лист1!$K$162</definedName>
    <definedName name="ИТОГО_масло_неопл">[4]Лист1!$L$162</definedName>
    <definedName name="Итого_масло_своб">[4]Лист1!$I$162</definedName>
    <definedName name="Итого_подс">[4]Лист1!$K$148</definedName>
    <definedName name="Итого_подс_неопл">[4]Лист1!$L$148</definedName>
    <definedName name="Итого_подс_своб">[4]Лист1!$I$148</definedName>
    <definedName name="Итого_просо">[4]Лист1!$K$155</definedName>
    <definedName name="ИТОГО_просо_неопл">[4]Лист1!$L$155</definedName>
    <definedName name="Итого_просо_своб">[4]Лист1!$I$155</definedName>
    <definedName name="Итого_пш_3">[4]Лист1!$K$40</definedName>
    <definedName name="ИТОГО_пш_3_неопл">[4]Лист1!$L$40</definedName>
    <definedName name="Итого_пш_3_своб">[4]Лист1!$I$40</definedName>
    <definedName name="Итого_пш_4">[4]Лист1!$K$52</definedName>
    <definedName name="ИТОГО_пш_4_неопл">[4]Лист1!$L$52</definedName>
    <definedName name="Итого_пш_4_своб">[4]Лист1!$I$52</definedName>
    <definedName name="Итого_пш_5">[4]Лист1!$K$97</definedName>
    <definedName name="Итого_пш_5_своб">[4]Лист1!$I$97</definedName>
    <definedName name="ИТОГО_пш_ф_неопл">[4]Лист1!$L$97</definedName>
    <definedName name="Итого_ячм_своб">[4]Лист1!$I$141</definedName>
    <definedName name="ИТОГО_ячмень">[4]Лист1!$K$141</definedName>
    <definedName name="итьиьтиь" hidden="1">{"glc1",#N/A,FALSE,"GLC";"glc2",#N/A,FALSE,"GLC";"glc3",#N/A,FALSE,"GLC";"glc4",#N/A,FALSE,"GLC";"glc5",#N/A,FALSE,"GLC"}</definedName>
    <definedName name="ИХ">[79]Контрагенты!$C$6:$C$22</definedName>
    <definedName name="июл03гр">#REF!</definedName>
    <definedName name="июл03у.е.">#REF!</definedName>
    <definedName name="июл04гр">#REF!</definedName>
    <definedName name="июл04руб">#REF!</definedName>
    <definedName name="июл04у.е.">#REF!</definedName>
    <definedName name="июль" hidden="1">{#N/A,#N/A,TRUE,"Буржуям"}</definedName>
    <definedName name="июль_Люда">[80]Трансформаторн!$F$8</definedName>
    <definedName name="июль03руб.">#REF!</definedName>
    <definedName name="июль5" hidden="1">{#N/A,#N/A,TRUE,"Буржуям"}</definedName>
    <definedName name="июн03гр">#REF!</definedName>
    <definedName name="июн03руб.">#REF!</definedName>
    <definedName name="июн03у.е.">#REF!</definedName>
    <definedName name="июн04гр">#REF!</definedName>
    <definedName name="июн04руб">#REF!</definedName>
    <definedName name="июн04у.е.">#REF!</definedName>
    <definedName name="июнь" hidden="1">{#N/A,#N/A,TRUE,"Буржуям"}</definedName>
    <definedName name="июнь1" hidden="1">{#N/A,#N/A,TRUE,"Буржуям"}</definedName>
    <definedName name="июнь101" hidden="1">{#N/A,#N/A,TRUE,"Буржуям"}</definedName>
    <definedName name="июнь6" hidden="1">{#N/A,#N/A,TRUE,"Буржуям"}</definedName>
    <definedName name="й" hidden="1">{#N/A,#N/A,FALSE,"FA_1";#N/A,#N/A,FALSE,"Dep'n SE";#N/A,#N/A,FALSE,"Dep'n FC"}</definedName>
    <definedName name="йй" hidden="1">{#N/A,#N/A,TRUE,"Буржуям"}</definedName>
    <definedName name="ййй">OFFSET([81]справочники!$A$83,0,0, COUNTA([81]справочники!$A$83:$A$98),1)</definedName>
    <definedName name="йййййййй" hidden="1">{#N/A,#N/A,TRUE,"Буржуям"}</definedName>
    <definedName name="ййууу" hidden="1">[23]MAIN!#REF!</definedName>
    <definedName name="ййцуйц">OFFSET([81]справочники!$A$83,0,0, COUNTA([81]справочники!$A$83:$A$98),1)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">[0]!йцу</definedName>
    <definedName name="йцув" hidden="1">#REF!</definedName>
    <definedName name="йцук" hidden="1">#REF!</definedName>
    <definedName name="ЙЦУКЙЦУК" hidden="1">{#VALUE!,#N/A,TRUE,0}</definedName>
    <definedName name="йцуу" hidden="1">#REF!</definedName>
    <definedName name="йцууыв">#REF!</definedName>
    <definedName name="к" hidden="1">{#N/A,#N/A,FALSE,"Aging Summary";#N/A,#N/A,FALSE,"Ratio Analysis";#N/A,#N/A,FALSE,"Test 120 Day Accts";#N/A,#N/A,FALSE,"Tickmarks"}</definedName>
    <definedName name="к.25.у.е.">'[31]Гр+'!#REF!</definedName>
    <definedName name="к_выб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пост">#REF!</definedName>
    <definedName name="к_Р28">#REF!</definedName>
    <definedName name="к1">[35]П!$C$136</definedName>
    <definedName name="К1_К">#REF!</definedName>
    <definedName name="К1_К_upper">#REF!</definedName>
    <definedName name="к25.руб.">'[31]Гр+'!#REF!</definedName>
    <definedName name="к25с.руб.">'[31]Гр+'!#REF!</definedName>
    <definedName name="к25с.у.е.">'[31]Гр+'!#REF!</definedName>
    <definedName name="к26.руб.">'[31]Гр+'!#REF!</definedName>
    <definedName name="к26.у.е.">'[31]Гр+'!#REF!</definedName>
    <definedName name="к26с.руб.">'[31]Гр+'!#REF!</definedName>
    <definedName name="к26с.у.е.">'[31]Гр+'!#REF!</definedName>
    <definedName name="к4">[35]П!$C$139</definedName>
    <definedName name="к4.руб.">'[24]Сводная ЛССМУ'!#REF!</definedName>
    <definedName name="к4.у.е.">'[24]Сводная ЛССМУ'!#REF!</definedName>
    <definedName name="к5.руб.">'[31]Гр+'!#REF!</definedName>
    <definedName name="к5.у.е.">'[31]Гр+'!#REF!</definedName>
    <definedName name="к6ш7шк">[0]!к6ш7шк</definedName>
    <definedName name="к7ш67">[0]!к7ш67</definedName>
    <definedName name="кабели">#REF!</definedName>
    <definedName name="каврне" hidden="1">{"'9'!$A$1:$S$99"}</definedName>
    <definedName name="Казан_ПЭ">'[4]#ССЫЛКА'!$B$64</definedName>
    <definedName name="Казан_ПЭ_Ц">'[4]#ССЫЛКА'!$C$64</definedName>
    <definedName name="Казань_кредОАО">[4]Лист1!$F$137</definedName>
    <definedName name="казеин">[4]Лист1!$R$89</definedName>
    <definedName name="кам" hidden="1">#REF!</definedName>
    <definedName name="камни">[40]благоустр.!#REF!</definedName>
    <definedName name="канализация">#REF!</definedName>
    <definedName name="кап" hidden="1">{"glc1",#N/A,FALSE,"GLC";"glc2",#N/A,FALSE,"GLC";"glc3",#N/A,FALSE,"GLC";"glc4",#N/A,FALSE,"GLC";"glc5",#N/A,FALSE,"GLC"}</definedName>
    <definedName name="кап.">[82]Кредит!$D$6</definedName>
    <definedName name="капвл">#REF!</definedName>
    <definedName name="капитальность">#REF!</definedName>
    <definedName name="каск5.физ.долг">#REF!</definedName>
    <definedName name="каск5.юр.долг">#REF!</definedName>
    <definedName name="кау" hidden="1">{"assets",#N/A,FALSE,"historicBS";"liab",#N/A,FALSE,"historicBS";"is",#N/A,FALSE,"historicIS";"ratios",#N/A,FALSE,"ratios"}</definedName>
    <definedName name="кафе">#REF!</definedName>
    <definedName name="кафе1">#REF!</definedName>
    <definedName name="кв.м.">#REF!</definedName>
    <definedName name="квота_2002">[4]MACRO!$F$37</definedName>
    <definedName name="квр_5_1">#REF!</definedName>
    <definedName name="квр_5_2">#REF!</definedName>
    <definedName name="квр_5_3">#REF!</definedName>
    <definedName name="квр_6_1">#REF!</definedName>
    <definedName name="кг6г">[0]!кг6г</definedName>
    <definedName name="кггу">[0]!кггу</definedName>
    <definedName name="кгегенге">[0]!кгегенге</definedName>
    <definedName name="кгегу">[0]!кгегу</definedName>
    <definedName name="кгекгег">[0]!кгекгег</definedName>
    <definedName name="кгекнген">[0]!кгекнген</definedName>
    <definedName name="кгенгекг">[0]!кгенгекг</definedName>
    <definedName name="кгенгк">[0]!кгенгк</definedName>
    <definedName name="кгенгнгн">[0]!кгенгнгн</definedName>
    <definedName name="кгенего">[0]!кгенего</definedName>
    <definedName name="кгенкенке">[0]!кгенкенке</definedName>
    <definedName name="кгеногн">[0]!кгеногн</definedName>
    <definedName name="кгкгене">[0]!кгкгене</definedName>
    <definedName name="кгкекнк">[0]!кгкекнк</definedName>
    <definedName name="кгкенгкенке">[0]!кгкенгкенке</definedName>
    <definedName name="кгкене">[0]!кгкене</definedName>
    <definedName name="кгкоуол">[0]!кгкоуол</definedName>
    <definedName name="кгнкнк">[0]!кгнкнк</definedName>
    <definedName name="кгуг">[0]!кгуг</definedName>
    <definedName name="кгуе">[0]!кгуе</definedName>
    <definedName name="кгуеген">[0]!кгуеген</definedName>
    <definedName name="кгуегуе">[0]!кгуегуе</definedName>
    <definedName name="кгуенг">[0]!кгуенг</definedName>
    <definedName name="кгуенгкенгекнгг">[0]!кгуенгкенгекнгг</definedName>
    <definedName name="кгуене">[0]!кгуене</definedName>
    <definedName name="кгуке">[0]!кгуке</definedName>
    <definedName name="кгукегуенгу">[0]!кгукегуенгу</definedName>
    <definedName name="кд">[4]Лист1!$I$2</definedName>
    <definedName name="КДС">#REF!</definedName>
    <definedName name="КДС0">#REF!</definedName>
    <definedName name="КДС1">#REF!</definedName>
    <definedName name="ке" hidden="1">'[83]Share Price 2002'!#REF!</definedName>
    <definedName name="ке67шк6">[0]!ке67шк6</definedName>
    <definedName name="кеаш6н7шк">[0]!кеаш6н7шк</definedName>
    <definedName name="кегге">[0]!кегге</definedName>
    <definedName name="кеггу">[0]!кеггу</definedName>
    <definedName name="кегегег">[0]!кегегег</definedName>
    <definedName name="кегегнуе">[0]!кегегнуе</definedName>
    <definedName name="кегек765">[0]!кегек765</definedName>
    <definedName name="кегекнгуг">[0]!кегекнгуг</definedName>
    <definedName name="кегенгенг">[0]!кегенгенг</definedName>
    <definedName name="кегкге">[0]!кегкге</definedName>
    <definedName name="кегкгке">[0]!кегкгке</definedName>
    <definedName name="кегкегу">[0]!кегкегу</definedName>
    <definedName name="кегкенг">[0]!кегкенг</definedName>
    <definedName name="кегкенк">[0]!кегкенк</definedName>
    <definedName name="кегкенкн">[0]!кегкенкн</definedName>
    <definedName name="кегнгк">[0]!кегнгк</definedName>
    <definedName name="кегогукен">[0]!кегогукен</definedName>
    <definedName name="кегугуг">[0]!кегугуг</definedName>
    <definedName name="кегуегкн">[0]!кегуегкн</definedName>
    <definedName name="кегуекогу">[0]!кегуекогу</definedName>
    <definedName name="кегуенг">'[65]Метод остатка'!#REF!</definedName>
    <definedName name="кегуенгек">[0]!кегуенгек</definedName>
    <definedName name="кегуенгрено">[0]!кегуенгрено</definedName>
    <definedName name="кегукгукег">[0]!кегукгукег</definedName>
    <definedName name="кегуке">[0]!кегуке</definedName>
    <definedName name="кеекну">[0]!кеекну</definedName>
    <definedName name="кеенуену">[0]!кеенуену</definedName>
    <definedName name="кеепро">[0]!кеепро</definedName>
    <definedName name="кекгек">[0]!кекгек</definedName>
    <definedName name="кекегер">[0]!кекегер</definedName>
    <definedName name="кекеке">[0]!кекеке</definedName>
    <definedName name="кекеогеог">[0]!кекеогеог</definedName>
    <definedName name="кекерке">[0]!кекерке</definedName>
    <definedName name="кекеуек">[0]!кекеуек</definedName>
    <definedName name="кекецц">[0]!кекецц</definedName>
    <definedName name="кеккг">[0]!кеккг</definedName>
    <definedName name="кекнекн">[0]!кекнекн</definedName>
    <definedName name="кекнкену">[0]!кекнкену</definedName>
    <definedName name="кекрке">[0]!кекрке</definedName>
    <definedName name="кекугекну">[0]!кекугекну</definedName>
    <definedName name="келг">[0]!келг</definedName>
    <definedName name="кен">[0]!кен</definedName>
    <definedName name="кенгк">[0]!кенгк</definedName>
    <definedName name="кенгн">[0]!кенгн</definedName>
    <definedName name="кенгнг">[0]!кенгнг</definedName>
    <definedName name="кенгугу">[0]!кенгугу</definedName>
    <definedName name="кенгуен">[0]!кенгуен</definedName>
    <definedName name="кенгуенг">[0]!кенгуенг</definedName>
    <definedName name="кенгуенлен">#REF!</definedName>
    <definedName name="кенекнук">[0]!кенекнук</definedName>
    <definedName name="кенен">[0]!кенен</definedName>
    <definedName name="кененун">[0]!кененун</definedName>
    <definedName name="кенеогн">[0]!кенеогн</definedName>
    <definedName name="кенкгегееугуг">[0]!кенкгегееугуг</definedName>
    <definedName name="кенкгк">[0]!кенкгк</definedName>
    <definedName name="кенкгш67гк6">[0]!кенкгш67гк6</definedName>
    <definedName name="кенкенгек">[0]!кенкенгек</definedName>
    <definedName name="кенкенке">[0]!кенкенке</definedName>
    <definedName name="кенкеуке">[0]!кенкеуке</definedName>
    <definedName name="кенкн">[0]!кенкн</definedName>
    <definedName name="кенкнг">[0]!кенкнг</definedName>
    <definedName name="кенкнеу">[0]!кенкнеу</definedName>
    <definedName name="кенкнеук">[0]!кенкнеук</definedName>
    <definedName name="кенкнк">[0]!кенкнк</definedName>
    <definedName name="кенкнке">[0]!кенкнке</definedName>
    <definedName name="кенкнук">[0]!кенкнук</definedName>
    <definedName name="кенкнукен">[0]!кенкнукен</definedName>
    <definedName name="кенкугг">[0]!кенкугг</definedName>
    <definedName name="кенну">[0]!кенну</definedName>
    <definedName name="кеногуену">[0]!кеногуену</definedName>
    <definedName name="кенрпав" hidden="1">{"glc1",#N/A,FALSE,"GLC";"glc2",#N/A,FALSE,"GLC";"glc3",#N/A,FALSE,"GLC";"glc4",#N/A,FALSE,"GLC";"glc5",#N/A,FALSE,"GLC"}</definedName>
    <definedName name="кенрыке">[0]!кенрыке</definedName>
    <definedName name="кену">[0]!кену</definedName>
    <definedName name="кенугуен">[0]!кенугуен</definedName>
    <definedName name="кенугуенек">[0]!кенугуенек</definedName>
    <definedName name="кенуегн">[0]!кенуегн</definedName>
    <definedName name="кенуек">[0]!кенуек</definedName>
    <definedName name="кенуене">[0]!кенуене</definedName>
    <definedName name="кенукгне">[0]!кенукгне</definedName>
    <definedName name="кенукн">[0]!кенукн</definedName>
    <definedName name="кенуне">[0]!кенуне</definedName>
    <definedName name="кенуну">[0]!кенуну</definedName>
    <definedName name="кенцкцо">[0]!кенцкцо</definedName>
    <definedName name="кенше">[0]!кенше</definedName>
    <definedName name="кеншеншнгш">[0]!кеншеншнгш</definedName>
    <definedName name="кеогеоген">[0]!кеогеоген</definedName>
    <definedName name="кеогуног">[0]!кеогуног</definedName>
    <definedName name="кеоекуо">[0]!кеоекуо</definedName>
    <definedName name="кеоеноео">[0]!кеоеноео</definedName>
    <definedName name="кеоеноуо">[0]!кеоеноуо</definedName>
    <definedName name="кеокуо">[0]!кеокуо</definedName>
    <definedName name="кеоо">[0]!кеоо</definedName>
    <definedName name="кеорен">[0]!кеорен</definedName>
    <definedName name="кеореро">[0]!кеореро</definedName>
    <definedName name="кеоркераеп">[0]!кеоркераеп</definedName>
    <definedName name="кеоуненоен">[0]!кеоуненоен</definedName>
    <definedName name="кеоыка">[0]!кеоыка</definedName>
    <definedName name="кервке">[0]!кервке</definedName>
    <definedName name="кереенг">[0]!кереенг</definedName>
    <definedName name="кереке">[0]!кереке</definedName>
    <definedName name="керепр">[0]!керепр</definedName>
    <definedName name="керк">[0]!керк</definedName>
    <definedName name="керкер" hidden="1">{"'Prices'!$A$4:$J$27"}</definedName>
    <definedName name="керкуерр">[0]!керкуерр</definedName>
    <definedName name="кернеенен">[0]!кернеенен</definedName>
    <definedName name="керогкекек">[0]!керогкекек</definedName>
    <definedName name="кероеуое">[0]!кероеуое</definedName>
    <definedName name="керороек">[0]!керороек</definedName>
    <definedName name="кероукоуен">[0]!кероукоуен</definedName>
    <definedName name="керпкр">[0]!керпкр</definedName>
    <definedName name="керукеору">[0]!керукеору</definedName>
    <definedName name="керыке">[0]!керыке</definedName>
    <definedName name="кеуген">[0]!кеуген</definedName>
    <definedName name="кеугуен">[0]!кеугуен</definedName>
    <definedName name="кеуеен">[0]!кеуеен</definedName>
    <definedName name="кеуекнек">[0]!кеуекнек</definedName>
    <definedName name="кеуенек">[0]!кеуенек</definedName>
    <definedName name="кеукгекнге">[0]!кеукгекнге</definedName>
    <definedName name="кеукенук">[0]!кеукенук</definedName>
    <definedName name="кеукеу">[0]!кеукеу</definedName>
    <definedName name="КЕУКЕУКЕ" hidden="1">{#N/A,#N/A,TRUE,"Буржуям"}</definedName>
    <definedName name="кеукнкен">[0]!кеукнкен</definedName>
    <definedName name="КЕУКПУПКУКП" hidden="1">{#N/A,#N/A,TRUE,"Буржуям"}</definedName>
    <definedName name="кеуне">[0]!кеуне</definedName>
    <definedName name="кеуну">[0]!кеуну</definedName>
    <definedName name="кецке">[0]!кецке</definedName>
    <definedName name="кешк76ш">[0]!кешк76ш</definedName>
    <definedName name="кешнгшш">[0]!кешнгшш</definedName>
    <definedName name="кз">#REF!</definedName>
    <definedName name="КЗ_Всего">#REF!</definedName>
    <definedName name="КЗ_КФВ">[4]MACRO!$F$18</definedName>
    <definedName name="КЗ_лиз_РСК_долл">[4]Лист1!$H$498</definedName>
    <definedName name="КЗ_ос">[4]MACRO!$F$32</definedName>
    <definedName name="Кз_перераб">[4]Лист1!$E$138</definedName>
    <definedName name="Кз_РСК">[4]Лист1!$E$53</definedName>
    <definedName name="КЗ_сах">[4]MACRO!$F$157</definedName>
    <definedName name="Кз_стр">[4]Лист1!$E$130</definedName>
    <definedName name="Кз_тов">[4]Лист1!$E$39</definedName>
    <definedName name="Кз_усл">[4]Лист1!$E$123</definedName>
    <definedName name="Кз_хоз">[4]Лист1!$E$131</definedName>
    <definedName name="КЗ_экспл">[4]MACRO!$F$146</definedName>
    <definedName name="кз1">#REF!</definedName>
    <definedName name="кз2">#REF!</definedName>
    <definedName name="Кипр" hidden="1">#REF!</definedName>
    <definedName name="Кириши">'[28]Метод остатка'!#REF!</definedName>
    <definedName name="КИТ">'[84]Оплата по графикам'!#REF!</definedName>
    <definedName name="кк">[4]Лист1!$K$37</definedName>
    <definedName name="КК1_К">#REF!</definedName>
    <definedName name="КК1_К_upper">#REF!</definedName>
    <definedName name="ккгекгекн">[0]!ккгекгекн</definedName>
    <definedName name="ккегкке">[0]!ккегкке</definedName>
    <definedName name="ккек">[0]!ккек</definedName>
    <definedName name="ккеке" hidden="1">[23]MAIN!#REF!</definedName>
    <definedName name="ккекко">[0]!ккекко</definedName>
    <definedName name="ккенкн">[0]!ккенкн</definedName>
    <definedName name="ккенкну">[0]!ккенкну</definedName>
    <definedName name="ккенкун">[0]!ккенкун</definedName>
    <definedName name="КККККККК" hidden="1">{#N/A,#N/A,TRUE,"Буржуям"}</definedName>
    <definedName name="ккккккккк">[0]!ккккккккк</definedName>
    <definedName name="ккккккккккк">[0]!ккккккккккк</definedName>
    <definedName name="ккккккккккккк">[0]!ккккккккккккк</definedName>
    <definedName name="КККККУУУ" hidden="1">{#N/A,#N/A,TRUE,"Буржуям"}</definedName>
    <definedName name="ккнккн">[0]!ккнккн</definedName>
    <definedName name="ккнкн">[0]!ккнкн</definedName>
    <definedName name="ккуфу">[0]!ккуфу</definedName>
    <definedName name="кладкакирпичная">#REF!</definedName>
    <definedName name="класс">#REF!</definedName>
    <definedName name="клотрлш">[0]!клотрлш</definedName>
    <definedName name="КН">'[4]Хран сах '!#REF!</definedName>
    <definedName name="кн7шк7">[0]!кн7шк7</definedName>
    <definedName name="кнгкгу">[0]!кнгкгу</definedName>
    <definedName name="кнгннг">[0]!кнгннг</definedName>
    <definedName name="кнгпдг">[0]!кнгпдг</definedName>
    <definedName name="кнгрког">[0]!кнгрког</definedName>
    <definedName name="кнгуен">[0]!кнгуен</definedName>
    <definedName name="кнгуену">[0]!кнгуену</definedName>
    <definedName name="кнгшнгшн">[0]!кнгшнгшн</definedName>
    <definedName name="кнгшншкн">[0]!кнгшншкн</definedName>
    <definedName name="кнеген">[0]!кнеген</definedName>
    <definedName name="кнененк">[0]!кнененк</definedName>
    <definedName name="кненкг">[0]!кненкг</definedName>
    <definedName name="кнеунен">[0]!кнеунен</definedName>
    <definedName name="кнеуунк">[0]!кнеуунк</definedName>
    <definedName name="книга222" hidden="1">{#N/A,#N/A,TRUE,"Буржуям"}</definedName>
    <definedName name="кнкгекг">[0]!кнкгекг</definedName>
    <definedName name="кнкене">[0]!кнкене</definedName>
    <definedName name="кнкенк">[0]!кнкенк</definedName>
    <definedName name="кнкенкгк">[0]!кнкенкгк</definedName>
    <definedName name="кнкенкр">[0]!кнкенкр</definedName>
    <definedName name="кнкену">[0]!кнкену</definedName>
    <definedName name="кнкеу">[0]!кнкеу</definedName>
    <definedName name="кнкецгек">[0]!кнкецгек</definedName>
    <definedName name="кнкнкун">[0]!кнкнкун</definedName>
    <definedName name="кнкнук">[0]!кнкнук</definedName>
    <definedName name="кнкунекен">[0]!кнкунекен</definedName>
    <definedName name="кно" hidden="1">{"'Prices'!$A$4:$J$27"}</definedName>
    <definedName name="кнокгн">[0]!кнокгн</definedName>
    <definedName name="кнуг">[0]!кнуг</definedName>
    <definedName name="кнугекге">[0]!кнугекге</definedName>
    <definedName name="кнуимн">[0]!кнуимн</definedName>
    <definedName name="кнукен">[0]!кнукен</definedName>
    <definedName name="кнукенк">[0]!кнукенк</definedName>
    <definedName name="кнукернг">[0]!кнукернг</definedName>
    <definedName name="кнукеу">[0]!кнукеу</definedName>
    <definedName name="кнукн">[0]!кнукн</definedName>
    <definedName name="кнуне">[0]!кнуне</definedName>
    <definedName name="кнункнеу">[0]!кнункнеу</definedName>
    <definedName name="ко">[0]!ко</definedName>
    <definedName name="ковекнвк">[0]!ковекнвк</definedName>
    <definedName name="ковкеке">[0]!ковкеке</definedName>
    <definedName name="когегу">[0]!когегу</definedName>
    <definedName name="когек">[0]!когек</definedName>
    <definedName name="когногг">[0]!когногг</definedName>
    <definedName name="Код">#REF!</definedName>
    <definedName name="Код_Зерномол">#REF!</definedName>
    <definedName name="Код_Н">#REF!</definedName>
    <definedName name="код_статьи">'[38]расш доходов'!$C$13:$C$16</definedName>
    <definedName name="код_статьи_имущество">[38]расш_ББ_1!$C$15:$C$18</definedName>
    <definedName name="код_статьи_р">'[38]расш расходов'!$C$13:$C$17</definedName>
    <definedName name="коекоек">[0]!коекоек</definedName>
    <definedName name="коеое">[0]!коеое</definedName>
    <definedName name="коеп">[0]!коеп</definedName>
    <definedName name="кокеоеву">[0]!кокеоеву</definedName>
    <definedName name="кокеоеко">[0]!кокеоеко</definedName>
    <definedName name="кокеоу">[0]!кокеоу</definedName>
    <definedName name="кокцокр">[0]!кокцокр</definedName>
    <definedName name="кол.ст.">#REF!</definedName>
    <definedName name="колво">'[65]Метод остатка'!#REF!</definedName>
    <definedName name="Количество_торговых_мест">'[28]Метод остатка'!#REF!</definedName>
    <definedName name="количествосу">#REF!</definedName>
    <definedName name="количство">[4]Лист1!#REF!</definedName>
    <definedName name="колодки">#REF!</definedName>
    <definedName name="ком.граф.">[85]Лист4!#REF!</definedName>
    <definedName name="ком.руб.">[85]Лист4!#REF!</definedName>
    <definedName name="ком.у.е.">[85]Лист4!#REF!</definedName>
    <definedName name="Комиссия">[86]Параметры!$B$22</definedName>
    <definedName name="Комиссия_тек">[4]Лист1!$K$204</definedName>
    <definedName name="коммар">[66]Concept!#REF!</definedName>
    <definedName name="коммпр">[66]Concept!#REF!</definedName>
    <definedName name="Коммрасх_всего">#REF!</definedName>
    <definedName name="кондиционер">#REF!</definedName>
    <definedName name="конегу">[0]!конегу</definedName>
    <definedName name="конекцоцко">[0]!конекцоцко</definedName>
    <definedName name="Конс">'[4]Фин. вложения'!$J$36</definedName>
    <definedName name="КонсБаланс">#REF!</definedName>
    <definedName name="Консервы">[4]Лист1!$D$89</definedName>
    <definedName name="Консервы_РПК">[4]Лист1!$H$89</definedName>
    <definedName name="Константа_сглаж">'[87]Прогноз СС'!#REF!</definedName>
    <definedName name="Контакты">#REF!</definedName>
    <definedName name="контр" hidden="1">{"glc1",#N/A,FALSE,"GLC";"glc2",#N/A,FALSE,"GLC";"glc3",#N/A,FALSE,"GLC";"glc4",#N/A,FALSE,"GLC";"glc5",#N/A,FALSE,"GLC"}</definedName>
    <definedName name="КонтрАгенты">OFFSET([88]Лист2!$F$500,0,0,COUNTA([88]Лист2!$F$500:$F$500),1)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ооек">[0]!кооек</definedName>
    <definedName name="Копия">#REF!</definedName>
    <definedName name="кор">'[53]общие сведения'!$B$14</definedName>
    <definedName name="кор_ка">[4]Лист1!$V$234</definedName>
    <definedName name="корм_петухи">[55]нормы!#REF!</definedName>
    <definedName name="корн">[4]Лист1!$Z$89</definedName>
    <definedName name="короба">#REF!</definedName>
    <definedName name="КОРОБКА_РАСПАЯЧ">'[36]матер.(октябрь)'!#REF!</definedName>
    <definedName name="коробки">#REF!</definedName>
    <definedName name="корова" hidden="1">{#N/A,#N/A,TRUE,"Буржуям"}</definedName>
    <definedName name="Корп">#REF!</definedName>
    <definedName name="корп4.физ.долг">#REF!</definedName>
    <definedName name="корп4.юр.долг">#REF!</definedName>
    <definedName name="Корпус">#REF!</definedName>
    <definedName name="коррект">[4]Лист1!$X$3:$X$218</definedName>
    <definedName name="коу">[0]!коу</definedName>
    <definedName name="коуен">'[65]Метод остатка'!#REF!</definedName>
    <definedName name="коуеоео">[0]!коуеоео</definedName>
    <definedName name="коукногео">[0]!коукногео</definedName>
    <definedName name="коулне">[0]!коулне</definedName>
    <definedName name="коуо">[0]!коуо</definedName>
    <definedName name="КОФ">'[62]исходные данные'!$D$9</definedName>
    <definedName name="Коэф1969_дек2005">#REF!</definedName>
    <definedName name="КоэфИнфляции">#REF!</definedName>
    <definedName name="КП">#REF!</definedName>
    <definedName name="кперкге">[0]!кперкге</definedName>
    <definedName name="кпеыфр">[0]!кпеыфр</definedName>
    <definedName name="Кпопр">#REF!</definedName>
    <definedName name="кпрфу">[0]!кпрфу</definedName>
    <definedName name="кпуыпкув">[0]!кпуыпкув</definedName>
    <definedName name="кпфпу">[0]!кпфпу</definedName>
    <definedName name="кр">'[4]2 деньги в пути'!#REF!</definedName>
    <definedName name="кр_агро">'[4] БДДС'!$M$140</definedName>
    <definedName name="кр_БП">'[4] БДДС'!$M$352</definedName>
    <definedName name="Кр_зона_02">[4]Лист1!#REF!</definedName>
    <definedName name="кр_НАС">'[4] БДДС'!$M$319</definedName>
    <definedName name="кр_НПК">[4]б!#REF!</definedName>
    <definedName name="КРАСКИ">'[34]см. ЦЕНЫ '!$B$238</definedName>
    <definedName name="Красн_пш_3_своб">[4]Лист1!$I$39</definedName>
    <definedName name="Красн_пш_5_своб">[4]Лист1!$I$86</definedName>
    <definedName name="Краснод_пш_3_неопл">[4]Лист1!$L$39</definedName>
    <definedName name="Краснодар_пш_3">[4]Лист1!$K$39</definedName>
    <definedName name="Краснодар_пш_5">[4]Лист1!$K$86</definedName>
    <definedName name="Краснодар_пш_ф_неопл">[4]Лист1!$L$86</definedName>
    <definedName name="Краснодар_ячм_неопл">[4]Лист1!$L$140</definedName>
    <definedName name="Краснодар_ячм_своб">[4]Лист1!$I$140</definedName>
    <definedName name="Краснодар_ячмень">[4]Лист1!$K$140</definedName>
    <definedName name="КРАСНОЯРСК" hidden="1">{"'РП (2)'!$A$5:$S$150"}</definedName>
    <definedName name="красныйц" hidden="1">{#N/A,#N/A,TRUE,"Буржуям"}</definedName>
    <definedName name="кред_02">[4]MACRO!#REF!</definedName>
    <definedName name="Кред_зад_Большевик">'[4]#ССЫЛКА'!$D$42</definedName>
    <definedName name="Кред_зад_Володар">'[4]#ССЫЛКА'!$D$38</definedName>
    <definedName name="Кред_зад_Казань">'[4]#ССЫЛКА'!$D$40</definedName>
    <definedName name="Кред_зад_Н_Челны">'[4]#ССЫЛКА'!$D$39</definedName>
    <definedName name="Кред_зад_переработка">'[4]#ССЫЛКА'!$D$44</definedName>
    <definedName name="Кред_зад_РЗ_кд">'[4]#ССЫЛКА'!$D$20</definedName>
    <definedName name="Кред_зад_Серпухов">'[4]#ССЫЛКА'!$D$41</definedName>
    <definedName name="Кред_зад_Шексна">'[4]#ССЫЛКА'!$D$37</definedName>
    <definedName name="кред_к">[4]MACRO!#REF!</definedName>
    <definedName name="кред_логистиков">[4]Лист1!$F$56</definedName>
    <definedName name="Кред_РЦ">[4]Лист1!$F$14</definedName>
    <definedName name="кред_т">[4]MACRO!$F$24</definedName>
    <definedName name="Кред_тов">'[4]#ССЫЛКА'!$D$32</definedName>
    <definedName name="Кред_ф">[4]MACRO!$F$78</definedName>
    <definedName name="кред03">[4]MACRO!$F$132</definedName>
    <definedName name="Кредит">#REF!</definedName>
    <definedName name="Кредит_в_Балтонэксиме">'[89]Оплата по графикам'!$B$137</definedName>
    <definedName name="КредитГраждБ">[90]Параметры!$B$24</definedName>
    <definedName name="КредитПетр">[91]Параметры!$B$24</definedName>
    <definedName name="кредОАО">[4]Лист1!$F$142</definedName>
    <definedName name="кренуеуе">[0]!кренуеуе</definedName>
    <definedName name="крепления">#REF!</definedName>
    <definedName name="Кривец">'[4]Хран сах '!#REF!</definedName>
    <definedName name="_xlnm.Criteria">#REF!</definedName>
    <definedName name="Критерии2">#REF!</definedName>
    <definedName name="кркернуену">[0]!кркернуену</definedName>
    <definedName name="кркр">[0]!кркр</definedName>
    <definedName name="крнегукен">[0]!крнегукен</definedName>
    <definedName name="крненр">[0]!крненр</definedName>
    <definedName name="крнкенкенк">[0]!крнкенкенк</definedName>
    <definedName name="крнкеогу">[0]!крнкеогу</definedName>
    <definedName name="кро">[0]!кро</definedName>
    <definedName name="КРОВЛЯ">'[34]см. ЦЕНЫ '!#REF!</definedName>
    <definedName name="КРОВЛЯ_МЕТ.ЧЕРЕП">'[34]см. ЦЕНЫ '!$B$170</definedName>
    <definedName name="кроекроенре">[0]!кроекроенре</definedName>
    <definedName name="крооаоп">[0]!крооаоп</definedName>
    <definedName name="крпаеаварв">[0]!крпаеаварв</definedName>
    <definedName name="крс">[4]СКР!$A$4</definedName>
    <definedName name="Крупская">'[4]Balance Sheet'!#REF!</definedName>
    <definedName name="Крупы">'[4]Фин. вложения'!$H$36</definedName>
    <definedName name="крфин">'[4]1.10'!#REF!</definedName>
    <definedName name="крфукпп">[0]!крфукпп</definedName>
    <definedName name="КРЫЛЬЦА">#REF!</definedName>
    <definedName name="крыльцо_1">#REF!</definedName>
    <definedName name="крыльцо_2">#REF!</definedName>
    <definedName name="крыльцо_3">#REF!</definedName>
    <definedName name="крыльцо_4">#REF!</definedName>
    <definedName name="крыльцо_5">#REF!</definedName>
    <definedName name="крыльцо_6">#REF!</definedName>
    <definedName name="крыоен">[0]!крыоен</definedName>
    <definedName name="КРЫША">#REF!</definedName>
    <definedName name="кс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с80м">'[92]общие данные'!$J$3</definedName>
    <definedName name="КСС">#REF!</definedName>
    <definedName name="Ктруд">#REF!</definedName>
    <definedName name="ку">#REF!</definedName>
    <definedName name="Кубагро_02">[4]Лист1!#REF!</definedName>
    <definedName name="Кубань_03">[4]Лист1!#REF!</definedName>
    <definedName name="кугг">[0]!кугг</definedName>
    <definedName name="кугеуг">[0]!кугеуг</definedName>
    <definedName name="кугуенк">[0]!кугуенк</definedName>
    <definedName name="кугуену">[0]!кугуену</definedName>
    <definedName name="куеге">[0]!куеге</definedName>
    <definedName name="куегн">[0]!куегн</definedName>
    <definedName name="куекнгн">[0]!куекнгн</definedName>
    <definedName name="куекнуек">[0]!куекнуек</definedName>
    <definedName name="куенукенук">[0]!куенукенук</definedName>
    <definedName name="кук_ставр_своб">[4]Лист1!$I$187</definedName>
    <definedName name="кукгекгек">[0]!кукгекгек</definedName>
    <definedName name="кукген">[0]!кукген</definedName>
    <definedName name="кукеу">[0]!кукеу</definedName>
    <definedName name="кукнггег">[0]!кукнггег</definedName>
    <definedName name="кукнкун">[0]!кукнкун</definedName>
    <definedName name="кукнукн">[0]!кукнукн</definedName>
    <definedName name="кунгенг">[0]!кунгенг</definedName>
    <definedName name="куогенгу">[0]!куогенгу</definedName>
    <definedName name="куогенргеуоео">[0]!куогенргеуоео</definedName>
    <definedName name="куокере">[0]!куокере</definedName>
    <definedName name="купарфыр">[0]!купарфыр</definedName>
    <definedName name="кур">'[4]Баланс-новый'!$G$3</definedName>
    <definedName name="курнана" hidden="1">{"assets",#N/A,FALSE,"historicBS";"liab",#N/A,FALSE,"historicBS";"is",#N/A,FALSE,"historicIS";"ratios",#N/A,FALSE,"ratios"}</definedName>
    <definedName name="курс">31.0834</definedName>
    <definedName name="курс.встр.пр.">'[31]Гр+'!#REF!</definedName>
    <definedName name="курс.гак.">'[31]Гр+'!#REF!</definedName>
    <definedName name="курс.сер1оч.">'[31]Гр+'!#REF!</definedName>
    <definedName name="Курс_долл">'[93]Исх дан'!$B$2</definedName>
    <definedName name="Курс_доллара">[94]Исход.инф.!$B$4</definedName>
    <definedName name="курс_на_01.11">[4]Лист1!#REF!</definedName>
    <definedName name="курс_на_вчера">[4]Лист1!#REF!</definedName>
    <definedName name="курс06">#REF!</definedName>
    <definedName name="курс1">[4]СКР!$B$4</definedName>
    <definedName name="курс25">'[31]Гр+'!#REF!</definedName>
    <definedName name="курсбайк">'[31]Гр+'!#REF!</definedName>
    <definedName name="курсбог">'[31]Гр+'!#REF!</definedName>
    <definedName name="курсгр">'[31]Гр+'!#REF!</definedName>
    <definedName name="курсдолг.">'[31]Гр+'!#REF!</definedName>
    <definedName name="Курсдолл">'[93]Исх дан'!#REF!</definedName>
    <definedName name="курсил">'[31]Гр+'!#REF!</definedName>
    <definedName name="Курск_пш_4">[4]Лист1!$K$51</definedName>
    <definedName name="Курск_пш_4_неопл">[4]Лист1!$L$51</definedName>
    <definedName name="Курск_пш_4_своб">[4]Лист1!$I$51</definedName>
    <definedName name="Курск_пш_5">[4]Лист1!$K$96</definedName>
    <definedName name="Курск_пш_5_своб">[4]Лист1!$I$96</definedName>
    <definedName name="Курск_пш_ф_неопл">[4]Лист1!$L$96</definedName>
    <definedName name="Курск_ячм_неопл">[4]Лист1!$L$116</definedName>
    <definedName name="Курск_ячм_непл">[4]Лист1!$L$116</definedName>
    <definedName name="Курск_ячм_своб">[4]Лист1!$I$116</definedName>
    <definedName name="Курск_ячмень">[4]Лист1!$K$116</definedName>
    <definedName name="курск25с">'[31]Гр+'!#REF!</definedName>
    <definedName name="курск26">'[31]Гр+'!#REF!</definedName>
    <definedName name="курск26с">'[31]Гр+'!#REF!</definedName>
    <definedName name="курск4">'[24]Сводная ЛССМУ'!#REF!</definedName>
    <definedName name="курск5">'[31]Гр+'!#REF!</definedName>
    <definedName name="курсланск">'[31]Гр+'!#REF!</definedName>
    <definedName name="курсланск.с.">'[31]Гр+'!#REF!</definedName>
    <definedName name="курсн.г.">'[31]Гр+'!#REF!</definedName>
    <definedName name="КурсПериода">#REF!</definedName>
    <definedName name="курспрв">'[31]Гр+'!#REF!</definedName>
    <definedName name="КурсР1">[4]Лист1!#REF!</definedName>
    <definedName name="курссер.21.">'[31]Гр+'!#REF!</definedName>
    <definedName name="курссер.2оч.">'[31]Гр+'!#REF!</definedName>
    <definedName name="курст3">'[31]Гр+'!#REF!</definedName>
    <definedName name="курстс">'[31]Гр+'!#REF!</definedName>
    <definedName name="курсф1">'[31]Гр+'!#REF!</definedName>
    <definedName name="курсф1с">'[31]Гр+'!#REF!</definedName>
    <definedName name="курсф2">'[31]Гр+'!#REF!</definedName>
    <definedName name="курсф2с">'[31]Гр+'!#REF!</definedName>
    <definedName name="курсф3А">'[31]Гр+'!#REF!</definedName>
    <definedName name="курсф3Ас">'[31]Гр+'!#REF!</definedName>
    <definedName name="курсф4">'[24]Сводная ЛССМУ'!#REF!</definedName>
    <definedName name="курсф4с">'[24]Сводная ЛССМУ'!#REF!</definedName>
    <definedName name="курсф5">'[24]Сводная ЛССМУ'!#REF!</definedName>
    <definedName name="курсфок">'[31]Гр+'!#REF!</definedName>
    <definedName name="курсЦБ">#REF!</definedName>
    <definedName name="курсш.о.">'[31]Гр+'!#REF!</definedName>
    <definedName name="курсы">OFFSET([49]КУРС!$A$1,0,0, COUNTA([49]КУРС!$A$1:$A$3000),3)</definedName>
    <definedName name="курсэнг1">'[31]Гр+'!#REF!</definedName>
    <definedName name="куфурр">[0]!куфурр</definedName>
    <definedName name="куцкне">[0]!куцкне</definedName>
    <definedName name="куынцкен">[0]!куынцкен</definedName>
    <definedName name="КФВ">[4]Лист1!$F$37</definedName>
    <definedName name="кфпыв">[0]!кфпыв</definedName>
    <definedName name="КШ">[4]Поступления!#REF!</definedName>
    <definedName name="Кш_02">[4]Лист1!#REF!</definedName>
    <definedName name="Кш_03">[4]Лист1!#REF!</definedName>
    <definedName name="Кш_зона_02">[4]Лист1!#REF!</definedName>
    <definedName name="кш67нш">[0]!кш67нш</definedName>
    <definedName name="КША">'[4]Хран сах '!#REF!</definedName>
    <definedName name="КША_Н">'[4]Хран сах '!#REF!</definedName>
    <definedName name="Кшень_агро">'[4]Хран сах '!#REF!</definedName>
    <definedName name="Кшеньагр_03">[4]Лист1!#REF!</definedName>
    <definedName name="Кшешьагро_02">[4]Лист1!#REF!</definedName>
    <definedName name="КШН">'[4]Хран сах '!#REF!</definedName>
    <definedName name="кшнгонг">[0]!кшнгонг</definedName>
    <definedName name="кывркорве">[0]!кывркорве</definedName>
    <definedName name="кыгкег">[0]!кыгкег</definedName>
    <definedName name="кыуренр">[0]!кыуренр</definedName>
    <definedName name="кыфпма">#REF!</definedName>
    <definedName name="КЭШ" hidden="1">{#N/A,#N/A,FALSE,"Расчет вспомогательных"}</definedName>
    <definedName name="Л">#REF!</definedName>
    <definedName name="Л_02">[4]Лист1!#REF!</definedName>
    <definedName name="Л_агр">'[4]Хран сах '!#REF!</definedName>
    <definedName name="Л_зона_02">[4]Лист1!#REF!</definedName>
    <definedName name="ла" hidden="1">{#N/A,#N/A,TRUE,"Буржуям"}</definedName>
    <definedName name="лампы">#REF!</definedName>
    <definedName name="ланск.руб.">'[31]Гр+'!#REF!</definedName>
    <definedName name="ланск.с.руб.">'[31]Гр+'!#REF!</definedName>
    <definedName name="ланск.с.у.е.">'[31]Гр+'!#REF!</definedName>
    <definedName name="ланск.у.е.">'[31]Гр+'!#REF!</definedName>
    <definedName name="лао" hidden="1">{#N/A,#N/A,FALSE,"Virgin Flightdeck"}</definedName>
    <definedName name="лгп">#REF!</definedName>
    <definedName name="лгрнл">#REF!</definedName>
    <definedName name="лдгпа">#REF!</definedName>
    <definedName name="лдоп" hidden="1">{#N/A,#N/A,TRUE,"Буржуям"}</definedName>
    <definedName name="лдор" hidden="1">{"glc1",#N/A,FALSE,"GLC";"glc2",#N/A,FALSE,"GLC";"glc3",#N/A,FALSE,"GLC";"glc4",#N/A,FALSE,"GLC";"glc5",#N/A,FALSE,"GLC"}</definedName>
    <definedName name="ЛЕКСАН">'[34]см. ЦЕНЫ '!$B$288</definedName>
    <definedName name="лена">[4]Лист1!$A$191</definedName>
    <definedName name="лео_10">[4]Лист1!$J$70</definedName>
    <definedName name="лео_11">[4]Лист1!$I$70</definedName>
    <definedName name="лео_12">[4]Лист1!$J$70</definedName>
    <definedName name="лео_3">[4]Лист1!$I$65</definedName>
    <definedName name="лео_4">[4]Лист1!$J$65</definedName>
    <definedName name="лео_9">[4]Лист1!$I$70</definedName>
    <definedName name="лео1">[4]Лист1!$I$18</definedName>
    <definedName name="лео10">[4]Лист1!$J$219</definedName>
    <definedName name="лео13">[4]Лист1!$I$202</definedName>
    <definedName name="лео14">[4]Лист1!$J$202</definedName>
    <definedName name="лео15">[4]Лист1!$I$207</definedName>
    <definedName name="лео16">[4]Лист1!$J$207</definedName>
    <definedName name="лео17">[4]Лист1!$I$217</definedName>
    <definedName name="лео18">[4]Лист1!$J$217</definedName>
    <definedName name="лео19">[4]Лист1!$K$217</definedName>
    <definedName name="лео2">[4]Лист1!$J$18</definedName>
    <definedName name="лео20">[4]Лист1!$L$217</definedName>
    <definedName name="лео21">[4]Лист1!$I$212</definedName>
    <definedName name="лео22">[4]Лист1!$J$212</definedName>
    <definedName name="лео3">[4]Лист1!$I$70</definedName>
    <definedName name="лео4">[4]Лист1!$J$70</definedName>
    <definedName name="лео5">[4]Лист1!$I$55</definedName>
    <definedName name="лео6">[4]Лист1!$J$55</definedName>
    <definedName name="лео7">[4]Лист1!$I$112</definedName>
    <definedName name="лео8">[4]Лист1!$J$112</definedName>
    <definedName name="лео9">[4]Лист1!$I$219</definedName>
    <definedName name="леса">#REF!</definedName>
    <definedName name="ЛЕСТНИЦА">#REF!</definedName>
    <definedName name="лестницы">'[95]1 -фундам Н.4'!#REF!</definedName>
    <definedName name="лждл">[4]Лист1!$N$3</definedName>
    <definedName name="лизинг">[4]MACRO!$F$25</definedName>
    <definedName name="Лизинг_миксеров">'[89]Оплата по графикам'!$B$108</definedName>
    <definedName name="Лизинг_телеком">'[89]Оплата по графикам'!$B$184</definedName>
    <definedName name="Ликвид1">#REF!</definedName>
    <definedName name="Лист1" hidden="1">{"COM",#N/A,FALSE,"800 10th"}</definedName>
    <definedName name="Лист2" hidden="1">{"Output-3Column",#N/A,FALSE,"Output"}</definedName>
    <definedName name="лист6">[0]!Weekday_count*[0]!Standard_Daily_Hours</definedName>
    <definedName name="лифт">#REF!</definedName>
    <definedName name="лкон" hidden="1">{"'Prices'!$A$4:$J$27"}</definedName>
    <definedName name="лл" hidden="1">{#VALUE!,#N/A,TRUE,0}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hidden="1">{#VALUE!,#N/A,TRUE,0}</definedName>
    <definedName name="ллллл" hidden="1">#REF!</definedName>
    <definedName name="лншлдгшдщ">[0]!лншлдгшдщ</definedName>
    <definedName name="ло" hidden="1">{"glc1",#N/A,FALSE,"GLC";"glc2",#N/A,FALSE,"GLC";"glc3",#N/A,FALSE,"GLC";"glc4",#N/A,FALSE,"GLC";"glc5",#N/A,FALSE,"GLC"}</definedName>
    <definedName name="лоир">#REF!</definedName>
    <definedName name="локо" hidden="1">{"assets",#N/A,FALSE,"historicBS";"liab",#N/A,FALSE,"historicBS";"is",#N/A,FALSE,"historicIS";"ratios",#N/A,FALSE,"ratios"}</definedName>
    <definedName name="лококо" hidden="1">{"glcbs",#N/A,FALSE,"GLCBS";"glccsbs",#N/A,FALSE,"GLCCSBS";"glcis",#N/A,FALSE,"GLCIS";"glccsis",#N/A,FALSE,"GLCCSIS";"glcrat1",#N/A,FALSE,"GLC-ratios1"}</definedName>
    <definedName name="лоло">[96]восст!$B$1:$J$65536</definedName>
    <definedName name="лолол" hidden="1">{"glc1",#N/A,FALSE,"GLC";"glc2",#N/A,FALSE,"GLC";"glc3",#N/A,FALSE,"GLC";"glc4",#N/A,FALSE,"GLC";"glc5",#N/A,FALSE,"GLC"}</definedName>
    <definedName name="лолололо">[97]Описание!$C$3:$AW$32</definedName>
    <definedName name="лоп">#REF!</definedName>
    <definedName name="лопа" hidden="1">{#N/A,#N/A,FALSE,"Расчет вспомогательных"}</definedName>
    <definedName name="ЛОПОРП" hidden="1">{#VALUE!,#N/A,TRUE,0}</definedName>
    <definedName name="лор">#REF!</definedName>
    <definedName name="лорпа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">[4]Поступления!#REF!</definedName>
    <definedName name="лплгпа">#REF!</definedName>
    <definedName name="лповрывп" hidden="1">{"glc1",#N/A,FALSE,"GLC";"glc2",#N/A,FALSE,"GLC";"glc3",#N/A,FALSE,"GLC";"glc4",#N/A,FALSE,"GLC";"glc5",#N/A,FALSE,"GLC"}</definedName>
    <definedName name="лпрап" hidden="1">{"'Sheet1'!$A$1:$G$85"}</definedName>
    <definedName name="лрапрлпр">[0]!лрапрлпр</definedName>
    <definedName name="лрпро" hidden="1">{"'Sheet1'!$A$1:$G$85"}</definedName>
    <definedName name="лс">'[62]исходные данные'!$I$14</definedName>
    <definedName name="Лсв_02">[4]Лист1!#REF!</definedName>
    <definedName name="ЛССМУ">'[56]каскад,5'!#REF!</definedName>
    <definedName name="лфлфлфлфф" hidden="1">{"glc1",#N/A,FALSE,"GLC";"glc2",#N/A,FALSE,"GLC";"glc3",#N/A,FALSE,"GLC";"glc4",#N/A,FALSE,"GLC";"glc5",#N/A,FALSE,"GLC"}</definedName>
    <definedName name="лшенпо">[0]!лшенпо</definedName>
    <definedName name="Льг_03">[4]Лист1!#REF!</definedName>
    <definedName name="Льгов_агро_02">[4]Лист1!#REF!</definedName>
    <definedName name="Льговагр_03">[4]Лист1!#REF!</definedName>
    <definedName name="ЛЮБЕЛЯ">'[36]матер.(октябрь)'!#REF!</definedName>
    <definedName name="Люда">[80]Трансформаторн!$F$8</definedName>
    <definedName name="Люзя" hidden="1">{#N/A,#N/A,TRUE,"Буржуям"}</definedName>
    <definedName name="ля">[98]Износ!$A$3:$T$92</definedName>
    <definedName name="Лямбда">#N/A</definedName>
    <definedName name="м">[99]Исход.инф.!$C$8</definedName>
    <definedName name="М.ПРОКАТ">'[34]см. ЦЕНЫ '!#REF!</definedName>
    <definedName name="М_КАРКАСЫ">'[34]см. ЦЕНЫ '!$B$24</definedName>
    <definedName name="М2.01.08" hidden="1">{#N/A,#N/A,TRUE,"Буржуям"}</definedName>
    <definedName name="ма" hidden="1">{"assets",#N/A,FALSE,"historicBS";"liab",#N/A,FALSE,"historicBS";"is",#N/A,FALSE,"historicIS";"ratios",#N/A,FALSE,"ratios"}</definedName>
    <definedName name="Мазут__100">#REF!</definedName>
    <definedName name="май">[4]титул!#REF!</definedName>
    <definedName name="май03гр">#REF!</definedName>
    <definedName name="май03руб.">#REF!</definedName>
    <definedName name="май03у.е.">#REF!</definedName>
    <definedName name="май04гр">#REF!</definedName>
    <definedName name="май04руб.">#REF!</definedName>
    <definedName name="май04у.е.">#REF!</definedName>
    <definedName name="май5" hidden="1">{#N/A,#N/A,TRUE,"Буржуям"}</definedName>
    <definedName name="МАНСАРДА">#REF!</definedName>
    <definedName name="мапор" hidden="1">{"'Sheet1'!$A$1:$G$85"}</definedName>
    <definedName name="мар">[4]титул!#REF!</definedName>
    <definedName name="мар03гр">#REF!</definedName>
    <definedName name="мар03руб.">#REF!</definedName>
    <definedName name="мар03у.е.">#REF!</definedName>
    <definedName name="Марк">'[4]Balance Sheet'!#REF!</definedName>
    <definedName name="март" hidden="1">{#N/A,#N/A,TRUE,"Буржуям"}</definedName>
    <definedName name="март04гр">#REF!</definedName>
    <definedName name="март04руб.">#REF!</definedName>
    <definedName name="март04у.е.">#REF!</definedName>
    <definedName name="март2" hidden="1">{#N/A,#N/A,TRUE,"Буржуям"}</definedName>
    <definedName name="март3" hidden="1">{#N/A,#N/A,TRUE,"Буржуям"}</definedName>
    <definedName name="март5" hidden="1">{#N/A,#N/A,TRUE,"Буржуям"}</definedName>
    <definedName name="мас_раст">[4]Лист1!$E$55</definedName>
    <definedName name="мас_раст_дол">[4]Лист1!$H$55</definedName>
    <definedName name="мас_раст_руб">[4]Лист1!$G$55</definedName>
    <definedName name="мас2ПО">[4]Лист1!$F$141</definedName>
    <definedName name="мас2ПОТ">[4]Лист1!$H$141</definedName>
    <definedName name="мас2Ф">[4]Лист1!$G$141</definedName>
    <definedName name="мас2фТ">[4]Лист1!$I$141</definedName>
    <definedName name="масло">[4]Лист1!$L$89</definedName>
    <definedName name="масло_госрез_ав">[4]Лист1!#REF!</definedName>
    <definedName name="масло_госрез_ав_дол">[4]Лист1!#REF!</definedName>
    <definedName name="масло_госрез_ав_руб">[4]Лист1!#REF!</definedName>
    <definedName name="масло_госрез_факт">[4]Лист1!#REF!</definedName>
    <definedName name="масло_госрез_факт_дол">[4]Лист1!#REF!</definedName>
    <definedName name="масло_госрез_факт_руб">[4]Лист1!#REF!</definedName>
    <definedName name="масло_ДС_факт">[4]Лист1!$G$138</definedName>
    <definedName name="Масло_Евд_неопл">[4]Лист1!$L$157</definedName>
    <definedName name="Масло_Евд_своб">[4]Лист1!$I$157</definedName>
    <definedName name="Масло_Евдаково">[4]Лист1!$K$157</definedName>
    <definedName name="масло_нидера_ав">[4]Лист1!#REF!</definedName>
    <definedName name="масло_нидера_ав_дол">[4]Лист1!#REF!</definedName>
    <definedName name="масло_нидера_ав_руб">[4]Лист1!#REF!</definedName>
    <definedName name="масло_нидера_факт">[4]Лист1!#REF!</definedName>
    <definedName name="масло_нидера_факт_дол">[4]Лист1!#REF!</definedName>
    <definedName name="масло_нидера_факт_руб">[4]Лист1!#REF!</definedName>
    <definedName name="масло_отг">[4]Лист1!$F$193</definedName>
    <definedName name="масло1_ДС_по">[4]Лист1!$F$138</definedName>
    <definedName name="масло1_руб_по">[4]Лист1!$I$56</definedName>
    <definedName name="масло1_руб_факт">[4]Лист1!$J$56</definedName>
    <definedName name="масло1_тонн_по">[4]Лист1!$F$56</definedName>
    <definedName name="масло1_тонн_факт">[4]Лист1!$G$56</definedName>
    <definedName name="маслоДСПО">[4]Лист1!$M$56</definedName>
    <definedName name="маслоДСфакт">[4]Лист1!$N$56</definedName>
    <definedName name="Масштаб">#REF!</definedName>
    <definedName name="мат">[4]Поступления!$L$111</definedName>
    <definedName name="матер_БАНК">#REF!</definedName>
    <definedName name="матер_ЖД">#REF!</definedName>
    <definedName name="матер_НЕЖИЛ">#REF!</definedName>
    <definedName name="материалы">#REF!</definedName>
    <definedName name="межкомнатные">#REF!</definedName>
    <definedName name="мел_сс">[4]Отгрузка!$E$17</definedName>
    <definedName name="Менеджеры">'[79]Параметры ФОТ'!$B$14:$B$20</definedName>
    <definedName name="Меню">#REF!</definedName>
    <definedName name="мес" hidden="1">{#N/A,#N/A,TRUE,"Буржуям"}</definedName>
    <definedName name="месяц">#REF!</definedName>
    <definedName name="месяц5" hidden="1">{#N/A,#N/A,TRUE,"Буржуям"}</definedName>
    <definedName name="МЕТ_ИЗДЕЛИЯ">#REF!</definedName>
    <definedName name="МЕТ_ПРОКАТ">#REF!</definedName>
    <definedName name="МЕТАЛЛ">'[34]см. ЦЕНЫ '!$B$79</definedName>
    <definedName name="металлорукав">#REF!</definedName>
    <definedName name="метро">#REF!</definedName>
    <definedName name="МЕХАНИЗМЫ">#REF!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т" hidden="1">{"assets",#N/A,FALSE,"historicBS";"liab",#N/A,FALSE,"historicBS";"is",#N/A,FALSE,"historicIS";"ratios",#N/A,FALSE,"ratios"}</definedName>
    <definedName name="млеко">[4]Лист1!$I$89</definedName>
    <definedName name="МЛН">1000000</definedName>
    <definedName name="мммм" hidden="1">{#N/A,#N/A,TRUE,"Буржуям"}</definedName>
    <definedName name="молоко">[4]Лист1!$O$89</definedName>
    <definedName name="Молоко_сс">[4]Лист1!$AH$90</definedName>
    <definedName name="моро">[100]НФИк!$A$17</definedName>
    <definedName name="моро1">[69]НФИк!$A$17</definedName>
    <definedName name="мост" hidden="1">{#N/A,#N/A,TRUE,"Буржуям"}</definedName>
    <definedName name="мпьи">[0]!мпьи</definedName>
    <definedName name="мтмь">[0]!мтмь</definedName>
    <definedName name="мтпмь">[0]!мтпмь</definedName>
    <definedName name="мук">'[4]Фин. вложения'!$F$36</definedName>
    <definedName name="мука">[4]Лист1!$Q$89</definedName>
    <definedName name="мусоропровод">#REF!</definedName>
    <definedName name="МУФТА">'[36]матер.(октябрь)'!#REF!</definedName>
    <definedName name="мча" hidden="1">#REF!</definedName>
    <definedName name="мым" hidden="1">#REF!</definedName>
    <definedName name="мьось">[0]!мьось</definedName>
    <definedName name="мьпь">[0]!мьпь</definedName>
    <definedName name="мьсьби">[0]!мьсьби</definedName>
    <definedName name="н">[0]!н</definedName>
    <definedName name="н.г.руб.">'[31]Гр+'!#REF!</definedName>
    <definedName name="н.г.у.е.">'[31]Гр+'!#REF!</definedName>
    <definedName name="н.форма" hidden="1">{#N/A,#N/A,TRUE,"Буржуям"}</definedName>
    <definedName name="Н_дорож">#REF!</definedName>
    <definedName name="н76е7у5">[0]!н76е7у5</definedName>
    <definedName name="Н8">[101]Трансформаторн!$F$8</definedName>
    <definedName name="наененнен">[0]!наененнен</definedName>
    <definedName name="наеншелн">[0]!наеншелн</definedName>
    <definedName name="Название1">[2]Исход.инф.!$A$7</definedName>
    <definedName name="Название2">[2]Исход.инф.!$A$8</definedName>
    <definedName name="Название3">[2]Исход.инф.!$A$9</definedName>
    <definedName name="Название4">[2]Исход.инф.!$A$10</definedName>
    <definedName name="Назначение">[102]Исходник!$U$4:$U$17</definedName>
    <definedName name="Наименование">#REF!</definedName>
    <definedName name="нак" hidden="1">{"'Sheet1'!$A$1:$G$85"}</definedName>
    <definedName name="наконечники">#REF!</definedName>
    <definedName name="нал">[35]П!#REF!</definedName>
    <definedName name="Нал1">[4]Лист1!#REF!</definedName>
    <definedName name="НалИмущ">[103]Параметры!#REF!</definedName>
    <definedName name="НалНДС">#REF!</definedName>
    <definedName name="Налог_на_прибыль">[35]П!$A$19:$IV$19,[35]П!$A$12</definedName>
    <definedName name="налоги1" hidden="1">{#N/A,#N/A,TRUE,"Буржуям"}</definedName>
    <definedName name="налоги3" hidden="1">{#N/A,#N/A,TRUE,"Буржуям"}</definedName>
    <definedName name="НалОфКонв">[41]Параметры!#REF!</definedName>
    <definedName name="НалПриб">#REF!</definedName>
    <definedName name="НалПрибОкт">[104]Параметры!$B$16</definedName>
    <definedName name="НалРекл">[103]Параметры!#REF!</definedName>
    <definedName name="НалФинОф">[41]Параметры!#REF!</definedName>
    <definedName name="наннгдщгшщг">[0]!наннгдщгшщг</definedName>
    <definedName name="НАСис">[4]Хотмыжск!#REF!</definedName>
    <definedName name="наш" hidden="1">{#N/A,#N/A,TRUE,"Буржуям"}</definedName>
    <definedName name="НВ">[35]!GetSANDValue</definedName>
    <definedName name="нвеовел">[0]!нвеовел</definedName>
    <definedName name="нвощщзимыф" hidden="1">{"glc1",#N/A,FALSE,"GLC";"glc2",#N/A,FALSE,"GLC";"glc3",#N/A,FALSE,"GLC";"glc4",#N/A,FALSE,"GLC";"glc5",#N/A,FALSE,"GLC"}</definedName>
    <definedName name="нг" hidden="1">{"assets",#N/A,FALSE,"historicBS";"liab",#N/A,FALSE,"historicBS";"is",#N/A,FALSE,"historicIS";"ratios",#N/A,FALSE,"ratios"}</definedName>
    <definedName name="нгангплш">[0]!нгангплш</definedName>
    <definedName name="нгеге">[0]!нгеге</definedName>
    <definedName name="нгегенг">[0]!нгегенг</definedName>
    <definedName name="нгегшщгшще">[0]!нгегшщгшще</definedName>
    <definedName name="нгекнк">[0]!нгекнк</definedName>
    <definedName name="нгекногкн">[0]!нгекногкн</definedName>
    <definedName name="нгекщнгк">[0]!нгекщнгк</definedName>
    <definedName name="нген">[0]!нген</definedName>
    <definedName name="нгенгегег">[0]!нгенгегег</definedName>
    <definedName name="нгенгк">[0]!нгенгк</definedName>
    <definedName name="нгенгшегшег">[0]!нгенгшегшег</definedName>
    <definedName name="нгенгшн">[0]!нгенгшн</definedName>
    <definedName name="нгеноген">[0]!нгеноген</definedName>
    <definedName name="нгеншее">[0]!нгеншее</definedName>
    <definedName name="нгеншщнгш">[0]!нгеншщнгш</definedName>
    <definedName name="нгешуе6ну">[0]!нгешуе6ну</definedName>
    <definedName name="нгкг" hidden="1">{#N/A,#N/A,FALSE,"Расчет вспомогательных"}</definedName>
    <definedName name="нгкенгкен">[0]!нгкенгкен</definedName>
    <definedName name="нгкенк">[0]!нгкенк</definedName>
    <definedName name="нгкнг">[0]!нгкнг</definedName>
    <definedName name="нгкнгшщнг">[0]!нгкнгшщнг</definedName>
    <definedName name="нгкне">[0]!нгкне</definedName>
    <definedName name="нгкнщененен">[0]!нгкнщененен</definedName>
    <definedName name="нглонон">[0]!нглонон</definedName>
    <definedName name="нглшангпгш">[0]!нглшангпгш</definedName>
    <definedName name="нглшнлшгшщпгплш">[0]!нглшнлшгшщпгплш</definedName>
    <definedName name="нглшпегшдгн">[0]!нглшпегшдгн</definedName>
    <definedName name="нгнгршщг">[0]!нгнгршщг</definedName>
    <definedName name="нгнгше">[0]!нгнгше</definedName>
    <definedName name="нгнкг">[0]!нгнкг</definedName>
    <definedName name="нгншн">[0]!нгншн</definedName>
    <definedName name="нгпгл">[0]!нгпгл</definedName>
    <definedName name="нгуего">[0]!нгуего</definedName>
    <definedName name="нгуенге">[0]!нгуенге</definedName>
    <definedName name="нгуенгу">[0]!нгуенгу</definedName>
    <definedName name="нгуенгуекну">[0]!нгуенгуекну</definedName>
    <definedName name="нгуену">[0]!нгуену</definedName>
    <definedName name="нгуенуш">[0]!нгуенуш</definedName>
    <definedName name="нгукегн">[0]!нгукегн</definedName>
    <definedName name="нгшангшанш">[0]!нгшангшанш</definedName>
    <definedName name="нгшгпшпн">[0]!нгшгпшпн</definedName>
    <definedName name="нгшгше7">[0]!нгшгше7</definedName>
    <definedName name="нгшгшщнг">[0]!нгшгшщнг</definedName>
    <definedName name="нгше">[0]!нгше</definedName>
    <definedName name="нгшег">[0]!нгшег</definedName>
    <definedName name="нгшенгшще">[0]!нгшенгшще</definedName>
    <definedName name="нгшеншщ">[0]!нгшеншщ</definedName>
    <definedName name="нгшеншще">[0]!нгшеншще</definedName>
    <definedName name="нгшенщ">[0]!нгшенщ</definedName>
    <definedName name="нгшенщнгш">[0]!нгшенщнгш</definedName>
    <definedName name="нгшенщнгще78щп">[0]!нгшенщнгще78щп</definedName>
    <definedName name="нгшешнг">[0]!нгшешнг</definedName>
    <definedName name="нгшкне">[0]!нгшкне</definedName>
    <definedName name="нгшкнег">[0]!нгшкнег</definedName>
    <definedName name="нгшлшгш">[0]!нгшлшгш</definedName>
    <definedName name="нгшнгаен">[0]!нгшнгаен</definedName>
    <definedName name="нгшнгкн">[0]!нгшнгкн</definedName>
    <definedName name="нгшненкн">[0]!нгшненкн</definedName>
    <definedName name="нгшнещн">[0]!нгшнещн</definedName>
    <definedName name="нгшнше">[0]!нгшнше</definedName>
    <definedName name="нгшнще">[0]!нгшнще</definedName>
    <definedName name="нгщлпедщрд">[0]!нгщлпедщрд</definedName>
    <definedName name="нден_З">[4]СКР!$D$34</definedName>
    <definedName name="нден_часть_д_С">[4]СКР!$H$34</definedName>
    <definedName name="нден_часть_З">[4]СКР!$D$34</definedName>
    <definedName name="НДС">#REF!</definedName>
    <definedName name="НДС1">#REF!</definedName>
    <definedName name="НДС2">[86]Параметры!$B$18</definedName>
    <definedName name="неаешашнаен">[0]!неаешашнаен</definedName>
    <definedName name="негенгееге">[0]!негенгееге</definedName>
    <definedName name="негеншш">[0]!негеншш</definedName>
    <definedName name="негеш">[0]!негеш</definedName>
    <definedName name="неглшнгплшг">[0]!неглшнгплшг</definedName>
    <definedName name="негншкн">[0]!негншкн</definedName>
    <definedName name="негокеошк">[0]!негокеошк</definedName>
    <definedName name="негу">[0]!негу</definedName>
    <definedName name="негшеге">[0]!негшеге</definedName>
    <definedName name="негшлшен">[0]!негшлшен</definedName>
    <definedName name="неееноггег">[0]!неееноггег</definedName>
    <definedName name="нежилыепомещения">#REF!</definedName>
    <definedName name="некггггг">[0]!некггггг</definedName>
    <definedName name="некгк">[0]!некгк</definedName>
    <definedName name="некенгн">[0]!некенгн</definedName>
    <definedName name="некн">[0]!некн</definedName>
    <definedName name="некнук">[0]!некнук</definedName>
    <definedName name="некондиция">[4]Лист1!$AC$89</definedName>
    <definedName name="ненешеа">[0]!ненешеа</definedName>
    <definedName name="ненкенннннннннннннн">[0]!ненкенннннннннннннн</definedName>
    <definedName name="неншее">[0]!неншее</definedName>
    <definedName name="неншншлн">[0]!неншншлн</definedName>
    <definedName name="неогенлшу">[0]!неогенлшу</definedName>
    <definedName name="неогкегоен">[0]!неогкегоен</definedName>
    <definedName name="неогрвено">[0]!неогрвено</definedName>
    <definedName name="неоекн">[0]!неоекн</definedName>
    <definedName name="неоенлк">[0]!неоенлк</definedName>
    <definedName name="неоеое">[0]!неоеое</definedName>
    <definedName name="нераспр_03">[4]Лист1!$F$47</definedName>
    <definedName name="нераспр_04">[4]Лист1!$F$80</definedName>
    <definedName name="неуе">[0]!неуе</definedName>
    <definedName name="нешегег">[0]!нешегег</definedName>
    <definedName name="нешеген">[0]!нешеген</definedName>
    <definedName name="нешенганган">[0]!нешенганган</definedName>
    <definedName name="нешеншен">[0]!нешеншен</definedName>
    <definedName name="нешеншеш">[0]!нешеншеш</definedName>
    <definedName name="нешншнгшн">[0]!нешншнгшн</definedName>
    <definedName name="Ни">#REF!</definedName>
    <definedName name="ниокр" hidden="1">{#N/A,#N/A,TRUE,"Буржуям"}</definedName>
    <definedName name="ниц">#REF!</definedName>
    <definedName name="нкге">[0]!нкге</definedName>
    <definedName name="нкенгкг">[0]!нкенгкг</definedName>
    <definedName name="нкенкн">[0]!нкенкн</definedName>
    <definedName name="нкеношкн">[0]!нкеношкн</definedName>
    <definedName name="нкенук">[0]!нкенук</definedName>
    <definedName name="нкенуке">[0]!нкенуке</definedName>
    <definedName name="нкеункнке">[0]!нкеункнке</definedName>
    <definedName name="нкнгуг">[0]!нкнгуг</definedName>
    <definedName name="нкнгшегш">[0]!нкнгшегш</definedName>
    <definedName name="нкнкн">[0]!нкнкн</definedName>
    <definedName name="нкнук">[0]!нкнук</definedName>
    <definedName name="нкнукну">[0]!нкнукну</definedName>
    <definedName name="нкуненг">[0]!нкуненг</definedName>
    <definedName name="нкунуен">[0]!нкунуен</definedName>
    <definedName name="нн" hidden="1">{#N/A,#N/A,TRUE,"Буржуям"}</definedName>
    <definedName name="ннге">[0]!ннге</definedName>
    <definedName name="ннгнш">[0]!ннгнш</definedName>
    <definedName name="ннгуеген">[0]!ннгуеген</definedName>
    <definedName name="ннн">[105]НФИк!$A$17</definedName>
    <definedName name="ннненен" hidden="1">{"glc1",#N/A,FALSE,"GLC";"glc2",#N/A,FALSE,"GLC";"glc3",#N/A,FALSE,"GLC";"glc4",#N/A,FALSE,"GLC";"glc5",#N/A,FALSE,"GLC"}</definedName>
    <definedName name="нннне" hidden="1">[23]MAIN!#REF!</definedName>
    <definedName name="ннннннн">[0]!ннннннн</definedName>
    <definedName name="нннннннн">[0]!нннннннн</definedName>
    <definedName name="нннннннннн">[0]!нннннннннн</definedName>
    <definedName name="ннннннннннн">[0]!ннннннннннн</definedName>
    <definedName name="нннннннннннннннннн">[0]!нннннннннннннннннн</definedName>
    <definedName name="ноаклан">[0]!ноаклан</definedName>
    <definedName name="новое" hidden="1">{#VALUE!,#N/A,TRUE,0}</definedName>
    <definedName name="Новосиб_пш_3">[4]Лист1!$K$26</definedName>
    <definedName name="Новосиб_пш_3_неопл">[4]Лист1!$L$26</definedName>
    <definedName name="Новосиб_пш_3_своб">[4]Лист1!$I$26</definedName>
    <definedName name="ногвуен">[0]!ногвуен</definedName>
    <definedName name="ноеное">[0]!ноеное</definedName>
    <definedName name="ноео">[0]!ноео</definedName>
    <definedName name="нолнон">[0]!нолнон</definedName>
    <definedName name="ноль">'[4]#ССЫЛКА'!$Q$8</definedName>
    <definedName name="Номер">#REF!</definedName>
    <definedName name="Номер_Н">#REF!</definedName>
    <definedName name="Номинал">#REF!</definedName>
    <definedName name="нонгошнгш">[0]!нонгошнгш</definedName>
    <definedName name="НОП">#REF!</definedName>
    <definedName name="нопевл">[0]!нопевл</definedName>
    <definedName name="норкенг">[0]!норкенг</definedName>
    <definedName name="ноуеноу">[0]!ноуеноу</definedName>
    <definedName name="ношге">[0]!ношге</definedName>
    <definedName name="ноыко">[0]!ноыко</definedName>
    <definedName name="ноя">[4]титул!#REF!</definedName>
    <definedName name="нояб03гр">#REF!</definedName>
    <definedName name="нояб03руб.">#REF!</definedName>
    <definedName name="нояб03у.е.">#REF!</definedName>
    <definedName name="нояб04гр">#REF!</definedName>
    <definedName name="нояб04руб">#REF!</definedName>
    <definedName name="нояб04у.е.">#REF!</definedName>
    <definedName name="ноябрь">[35]П!#REF!</definedName>
    <definedName name="НП">#REF!</definedName>
    <definedName name="нпавыр" hidden="1">#N/A</definedName>
    <definedName name="НПД">#REF!</definedName>
    <definedName name="нпергр">[0]!нпергр</definedName>
    <definedName name="нпк">'[4]Гр фин'!#REF!</definedName>
    <definedName name="нпла">[0]!нпла</definedName>
    <definedName name="нпо">[0]!нпо</definedName>
    <definedName name="нр">#REF!</definedName>
    <definedName name="нравпор" hidden="1">{"glc1",#N/A,FALSE,"GLC";"glc2",#N/A,FALSE,"GLC";"glc3",#N/A,FALSE,"GLC";"glc4",#N/A,FALSE,"GLC";"glc5",#N/A,FALSE,"GLC"}</definedName>
    <definedName name="нрва" hidden="1">{"Output-Min",#N/A,FALSE,"Output"}</definedName>
    <definedName name="нрвек">[0]!нрвек</definedName>
    <definedName name="нрвпые" hidden="1">{"glc1",#N/A,FALSE,"GLC";"glc2",#N/A,FALSE,"GLC";"glc3",#N/A,FALSE,"GLC";"glc4",#N/A,FALSE,"GLC";"glc5",#N/A,FALSE,"GLC"}</definedName>
    <definedName name="нргнлшнглшнг">[0]!нргнлшнглшнг</definedName>
    <definedName name="нрену">[0]!нрену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hidden="1">{"ÜBERSICHT",#N/A,FALSE,"ABW KUM";"Kostenzoom",#N/A,FALSE,"ABW KUM";"ÜBERSICHT",#N/A,FALSE,"ABW HORE";"Kostenzoom",#N/A,FALSE,"ABW HORE"}</definedName>
    <definedName name="ну">[0]!ну</definedName>
    <definedName name="нуг">[0]!нуг</definedName>
    <definedName name="нугенгенген">[0]!нугенгенген</definedName>
    <definedName name="нуену">[0]!нуену</definedName>
    <definedName name="нуенуе">[0]!нуенуе</definedName>
    <definedName name="нуергуо">[0]!нуергуо</definedName>
    <definedName name="нукгеггн">[0]!нукгеггн</definedName>
    <definedName name="нукгуен">[0]!нукгуен</definedName>
    <definedName name="нукеног">[0]!нукеног</definedName>
    <definedName name="нукеуг">[0]!нукеуг</definedName>
    <definedName name="нукнге">[0]!нукнге</definedName>
    <definedName name="нукне">[0]!нукне</definedName>
    <definedName name="нукнекн">[0]!нукнекн</definedName>
    <definedName name="нункекенку">[0]!нункекенку</definedName>
    <definedName name="нуну">[0]!нуну</definedName>
    <definedName name="нур" hidden="1">{#N/A,#N/A,TRUE,"Буржуям"}</definedName>
    <definedName name="нурис" hidden="1">{#N/A,#N/A,TRUE,"Буржуям"}</definedName>
    <definedName name="нурисламова" hidden="1">{#N/A,#N/A,TRUE,"Буржуям"}</definedName>
    <definedName name="нурл_02">[4]Лист1!#REF!</definedName>
    <definedName name="нцкгугн">[0]!нцкгугн</definedName>
    <definedName name="НЧелны_кредитОАО">[4]Лист1!$F$136</definedName>
    <definedName name="ншг">[0]!ншг</definedName>
    <definedName name="ншешнгшегш">[0]!ншешнгшегш</definedName>
    <definedName name="ншкнг">[0]!ншкнг</definedName>
    <definedName name="ншкнггг">[0]!ншкнггг</definedName>
    <definedName name="ншкншкг">[0]!ншкншкг</definedName>
    <definedName name="ншкнще7">[0]!ншкнще7</definedName>
    <definedName name="ншкнщнекн">[0]!ншкнщнекн</definedName>
    <definedName name="ншнгше">[0]!ншнгше</definedName>
    <definedName name="ншнешгн">[0]!ншнешгн</definedName>
    <definedName name="ншншкн">[0]!ншншкн</definedName>
    <definedName name="нщегнга">[0]!нщегнга</definedName>
    <definedName name="о">[4]Лист1!#REF!</definedName>
    <definedName name="о_3к_д">[4]Лист1!$E$226</definedName>
    <definedName name="о_3к_дп">[4]Лист1!$C$226</definedName>
    <definedName name="о_3к_т">[4]Лист1!$B$226</definedName>
    <definedName name="о_3к_тф">[4]Лист1!$D$226</definedName>
    <definedName name="о_3кэ_дп">[4]Лист1!$C$227</definedName>
    <definedName name="о_3кэ_дф">[4]Лист1!$E$227</definedName>
    <definedName name="о_3кэ_т">[4]Лист1!$B$227</definedName>
    <definedName name="о_3кэ_тф">[4]Лист1!$D$227</definedName>
    <definedName name="о_мр_дп">[4]Лист1!$C$228</definedName>
    <definedName name="о_мр_дф">[4]Лист1!$E$228</definedName>
    <definedName name="о_мр_т">[4]Лист1!$B$228</definedName>
    <definedName name="о_мр_тф">[4]Лист1!$D$228</definedName>
    <definedName name="о_под_дп">[4]Лист1!$C$231</definedName>
    <definedName name="о_под_дф">[4]Лист1!$E$231</definedName>
    <definedName name="о_под_т">[4]Лист1!$B$231</definedName>
    <definedName name="о_под_тф">[4]Лист1!$D$231</definedName>
    <definedName name="о_пф_дп">[4]Лист1!$C$224</definedName>
    <definedName name="о_пф_дф">[4]Лист1!$E$224</definedName>
    <definedName name="о_пф_т">[4]Лист1!$B$224</definedName>
    <definedName name="о_пф_тф">[4]Лист1!$D$224</definedName>
    <definedName name="о_яч_дп">[4]Лист1!$C$225</definedName>
    <definedName name="о_яч_дф">[4]Лист1!$E$225</definedName>
    <definedName name="о_яч_т">[4]Лист1!$B$225</definedName>
    <definedName name="о_яч_тф">[4]Лист1!$D$225</definedName>
    <definedName name="о61005" hidden="1">{"print95",#N/A,FALSE,"1995E.XLS";"print96",#N/A,FALSE,"1996E.XLS"}</definedName>
    <definedName name="оаенге">[0]!оаенге</definedName>
    <definedName name="оаеноеое">[0]!оаеноеое</definedName>
    <definedName name="ОАО_авансы_получ">'[4]PL (2)'!#REF!</definedName>
    <definedName name="ОАО_кред_товар">[4]Лист1!$F$37</definedName>
    <definedName name="ОАО_пл_з">[4]Лист1!#REF!</definedName>
    <definedName name="ОАО_пл_зак">[4]Лист1!#REF!</definedName>
    <definedName name="ОАО_пл_пост">[4]Лист1!#REF!</definedName>
    <definedName name="ОАО_пл_т">[4]Лист1!#REF!</definedName>
    <definedName name="ОАО_тек_з">[4]Лист1!#REF!</definedName>
    <definedName name="ОАО_тек_зак">[4]Лист1!#REF!</definedName>
    <definedName name="ОАО_тек_пост">[4]Лист1!#REF!</definedName>
    <definedName name="ОАО_тек_т">[4]Лист1!#REF!</definedName>
    <definedName name="оао1">#REF!</definedName>
    <definedName name="оаогщ">#REF!</definedName>
    <definedName name="оаодшр">#REF!</definedName>
    <definedName name="оаодшрд">#REF!</definedName>
    <definedName name="оар" hidden="1">{"'интерфейс'!$J$31:$M$43"}</definedName>
    <definedName name="ОбКонв">#REF!</definedName>
    <definedName name="обл" hidden="1">{#N/A,#N/A,FALSE,"Aging Summary";#N/A,#N/A,FALSE,"Ratio Analysis";#N/A,#N/A,FALSE,"Test 120 Day Accts";#N/A,#N/A,FALSE,"Tickmarks"}</definedName>
    <definedName name="_xlnm.Print_Area">#REF!</definedName>
    <definedName name="облицовка">#REF!</definedName>
    <definedName name="обои">#REF!</definedName>
    <definedName name="Оборот">#REF!</definedName>
    <definedName name="ОбОф">#REF!</definedName>
    <definedName name="обременения">#REF!</definedName>
    <definedName name="ОбФин">#REF!</definedName>
    <definedName name="общ">[4]Лист1!#REF!</definedName>
    <definedName name="общ.ожид.встр.у.е.">#REF!</definedName>
    <definedName name="общ.ожид.кв.у.е.">[56]бог!#REF!</definedName>
    <definedName name="общ.пл.">[56]бог!#REF!</definedName>
    <definedName name="общ.пл.встр.">#REF!</definedName>
    <definedName name="общ.пл.кв.">[56]бог!#REF!</definedName>
    <definedName name="ОбщаяПл">'[41]Сводный-затраты'!$C$3</definedName>
    <definedName name="объем">[32]Характеристика!$B$37</definedName>
    <definedName name="Объем_Аналога">#REF!</definedName>
    <definedName name="Объем_дополн.">#REF!</definedName>
    <definedName name="Объем_здания">#REF!</definedName>
    <definedName name="ОВ_Авозвр">'[4]Balance Sheet'!#REF!</definedName>
    <definedName name="ОВ_Адолл">'[4]Balance Sheet'!#REF!</definedName>
    <definedName name="ОВ_Аруб">'[4]Balance Sheet'!#REF!</definedName>
    <definedName name="оваегаенгеногеноленоеко">[0]!оваегаенгеногеноленоеко</definedName>
    <definedName name="овапрпаро">[0]!овапрпаро</definedName>
    <definedName name="овес">[4]Лист1!$J$89</definedName>
    <definedName name="ОВЗ_тек">[4]Лист1!$K$207</definedName>
    <definedName name="овкоерн">[0]!овкоерн</definedName>
    <definedName name="овррарарпа">[0]!овррарарпа</definedName>
    <definedName name="овса">'[4]Фин. вложения'!$P$58</definedName>
    <definedName name="оггшднгш">[0]!оггшднгш</definedName>
    <definedName name="огкенекген">[0]!огкенекген</definedName>
    <definedName name="огуен5">[0]!огуен5</definedName>
    <definedName name="огуенг">[0]!огуенг</definedName>
    <definedName name="ОДР">#REF!</definedName>
    <definedName name="ОДРНП">#REF!</definedName>
    <definedName name="ОДФР_выб">[4]Лист1!$K$255</definedName>
    <definedName name="ОДФР_пост">[4]Лист1!$K$97</definedName>
    <definedName name="одьод">[0]!одьод</definedName>
    <definedName name="ое">[0]!ое</definedName>
    <definedName name="оеаен">[0]!оеаен</definedName>
    <definedName name="оевнроепо">[0]!оевнроепо</definedName>
    <definedName name="оекноген">[0]!оекноген</definedName>
    <definedName name="оенен">[0]!оенен</definedName>
    <definedName name="оенешпн">[0]!оенешпн</definedName>
    <definedName name="оенкешн">[0]!оенкешн</definedName>
    <definedName name="оено">[0]!оено</definedName>
    <definedName name="оеное">[0]!оеное</definedName>
    <definedName name="оеноеное">[0]!оеноеное</definedName>
    <definedName name="оеоеон">[0]!оеоеон</definedName>
    <definedName name="оероео">[0]!оероео</definedName>
    <definedName name="ожж" hidden="1">{#N/A,#N/A,TRUE,"Буржуям"}</definedName>
    <definedName name="ожид.закл.встр.у.е.">#REF!</definedName>
    <definedName name="ожид.закл.кв.">[56]бог!#REF!</definedName>
    <definedName name="ожид.закл.кв.у.е.">[56]бог!#REF!</definedName>
    <definedName name="ожид.незакл.встр.">#REF!</definedName>
    <definedName name="ожид.незакл.встр.у.е.">#REF!</definedName>
    <definedName name="ожид.незакл.дог.">[56]бог!#REF!</definedName>
    <definedName name="ожид.незакл.кв.у.е.">[56]бог!#REF!</definedName>
    <definedName name="ожид.непрод.встр.">#REF!</definedName>
    <definedName name="ожид.непрод.кв.">[56]бог!#REF!</definedName>
    <definedName name="ОИ" hidden="1">{#N/A,#N/A,TRUE,"Лист3"}</definedName>
    <definedName name="окаео">[0]!окаео</definedName>
    <definedName name="окен">[0]!окен</definedName>
    <definedName name="океокекг">[0]!океокекг</definedName>
    <definedName name="океоокуаыа" hidden="1">{"'Sheet1'!$A$1:$G$85"}</definedName>
    <definedName name="оклнпогнг">[0]!оклнпогнг</definedName>
    <definedName name="окна">#REF!</definedName>
    <definedName name="окт03гр">#REF!</definedName>
    <definedName name="окт03руб.">#REF!</definedName>
    <definedName name="окт03у.е.">#REF!</definedName>
    <definedName name="окт04гр">#REF!</definedName>
    <definedName name="окт04руб">#REF!</definedName>
    <definedName name="окт04у.е.">#REF!</definedName>
    <definedName name="октябрь" hidden="1">{#N/A,#N/A,TRUE,"Буржуям"}</definedName>
    <definedName name="олд">#REF!</definedName>
    <definedName name="ОЛДкурс">'[106]Таблица 8'!#REF!</definedName>
    <definedName name="оленреа">[0]!оленреа</definedName>
    <definedName name="олл">[107]Содержание!$J$15</definedName>
    <definedName name="олнуекц">[0]!олнуекц</definedName>
    <definedName name="олололол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н">[0]!он</definedName>
    <definedName name="ононо">[0]!ононо</definedName>
    <definedName name="онуе6нгу">[0]!онуе6нгу</definedName>
    <definedName name="оо" hidden="1">{#N/A,#N/A,FALSE,"Aging Summary";#N/A,#N/A,FALSE,"Ratio Analysis";#N/A,#N/A,FALSE,"Test 120 Day Accts";#N/A,#N/A,FALSE,"Tickmarks"}</definedName>
    <definedName name="ооаоаоаоао" hidden="1">{"glc1",#N/A,FALSE,"GLC";"glc2",#N/A,FALSE,"GLC";"glc3",#N/A,FALSE,"GLC";"glc4",#N/A,FALSE,"GLC";"glc5",#N/A,FALSE,"GLC"}</definedName>
    <definedName name="ооепнгенг">[0]!ооепнгенг</definedName>
    <definedName name="ООМ">[79]Контрагенты!$C$76:$C$78</definedName>
    <definedName name="ооо">[0]!ооо</definedName>
    <definedName name="оопооопопопопо" hidden="1">{#N/A,#N/A,FALSE,"Aging Summary";#N/A,#N/A,FALSE,"Ratio Analysis";#N/A,#N/A,FALSE,"Test 120 Day Accts";#N/A,#N/A,FALSE,"Tickmarks"}</definedName>
    <definedName name="оорп" hidden="1">{#N/A,#N/A,TRUE,"Буржуям"}</definedName>
    <definedName name="ОП">#REF!</definedName>
    <definedName name="опа">[0]!опа</definedName>
    <definedName name="опаавя">#REF!</definedName>
    <definedName name="опвапро">[0]!опвапро</definedName>
    <definedName name="ОПДС">#REF!</definedName>
    <definedName name="оперативно" hidden="1">{#N/A,#N/A,TRUE,"Буржуям"}</definedName>
    <definedName name="оперативное" hidden="1">{#N/A,#N/A,TRUE,"Буржуям"}</definedName>
    <definedName name="оперативные" hidden="1">{#N/A,#N/A,TRUE,"Буржуям"}</definedName>
    <definedName name="описание" hidden="1">{"glc1",#N/A,FALSE,"GLC";"glc2",#N/A,FALSE,"GLC";"glc3",#N/A,FALSE,"GLC";"glc4",#N/A,FALSE,"GLC";"glc5",#N/A,FALSE,"GLC"}</definedName>
    <definedName name="опл">[62]списки!$E$34</definedName>
    <definedName name="опл_имп">[62]списки!$E$30</definedName>
    <definedName name="опла.кв.руб.безмфтц">'[56]каскад,5'!#REF!</definedName>
    <definedName name="оплас.допл.комм.встр.">#REF!</definedName>
    <definedName name="оплач.встр.безмфтц">#REF!</definedName>
    <definedName name="оплач.встр.мфтц">#REF!</definedName>
    <definedName name="оплач.встр.руб.">#REF!</definedName>
    <definedName name="оплач.встр.руб.безмфтц">#REF!</definedName>
    <definedName name="оплач.встр.руб.мфтц">#REF!</definedName>
    <definedName name="оплач.встр.у.е.">#REF!</definedName>
    <definedName name="оплач.закл.встр.руб.">#REF!</definedName>
    <definedName name="оплач.закл.встр.у.е.">#REF!</definedName>
    <definedName name="оплач.кв.безмфтц">#REF!</definedName>
    <definedName name="оплач.кв.мфтц">#REF!</definedName>
    <definedName name="оплач.кв.руб.">[56]бог!#REF!</definedName>
    <definedName name="оплач.кв.руб.мфтц">#REF!</definedName>
    <definedName name="оплач.кв.у.е.">[56]бог!#REF!</definedName>
    <definedName name="оплач.комм.встр.">#REF!</definedName>
    <definedName name="оплач.комм.доп.кв.">[56]бог!#REF!</definedName>
    <definedName name="оплач.комм.кв.">[56]бог!#REF!</definedName>
    <definedName name="оплач.ст.руб.">#REF!</definedName>
    <definedName name="оплач.ст.у.е.">#REF!</definedName>
    <definedName name="опопп">[0]!опопп</definedName>
    <definedName name="опоры">#REF!</definedName>
    <definedName name="опррва">[0]!опррва</definedName>
    <definedName name="ор" hidden="1">{"glc1",#N/A,FALSE,"GLC";"glc2",#N/A,FALSE,"GLC";"glc3",#N/A,FALSE,"GLC";"glc4",#N/A,FALSE,"GLC";"glc5",#N/A,FALSE,"GLC"}</definedName>
    <definedName name="Орел">#REF!</definedName>
    <definedName name="Орел_просо">[4]Лист1!$K$152</definedName>
    <definedName name="орел_просо_неопл">[4]Лист1!$L$152</definedName>
    <definedName name="Орел_просо_своб">[4]Лист1!$I$152</definedName>
    <definedName name="Орел_пш_5">[4]Лист1!$K$64</definedName>
    <definedName name="Орел_пш_5_своб">[4]Лист1!$I$64</definedName>
    <definedName name="Орел_пш_ф_неопл">[4]Лист1!$L$64</definedName>
    <definedName name="Орел_ячм_неопл">[4]Лист1!$L$137</definedName>
    <definedName name="Орел_ячм_своб">[4]Лист1!$I$137</definedName>
    <definedName name="Орел_ячмень">[4]Лист1!$K$137</definedName>
    <definedName name="ори" hidden="1">{"glc1",#N/A,FALSE,"GLC";"glc2",#N/A,FALSE,"GLC";"glc3",#N/A,FALSE,"GLC";"glc4",#N/A,FALSE,"GLC";"glc5",#N/A,FALSE,"GLC"}</definedName>
    <definedName name="ориротлот">[0]!ориротлот</definedName>
    <definedName name="орло">[0]!орло</definedName>
    <definedName name="орлр">[0]!орлр</definedName>
    <definedName name="орорлроэ">[0]!орорлроэ</definedName>
    <definedName name="орп" hidden="1">{"'Prices'!$A$4:$J$27"}</definedName>
    <definedName name="орпавфыф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hidden="1">{"assets",#N/A,FALSE,"historicBS";"liab",#N/A,FALSE,"historicBS";"is",#N/A,FALSE,"historicIS";"ratios",#N/A,FALSE,"ratios"}</definedName>
    <definedName name="орпорп" hidden="1">{#VALUE!,#N/A,TRUE,0}</definedName>
    <definedName name="орукздл" hidden="1">{"glc1",#N/A,FALSE,"GLC";"glc2",#N/A,FALSE,"GLC";"glc3",#N/A,FALSE,"GLC";"glc4",#N/A,FALSE,"GLC";"glc5",#N/A,FALSE,"GLC"}</definedName>
    <definedName name="ОС">'[4]Хран сах '!$F$104</definedName>
    <definedName name="Осн">'[4]Хран сах '!$F$472</definedName>
    <definedName name="основания">#REF!</definedName>
    <definedName name="ост_3кл">[4]Лист1!$H$20</definedName>
    <definedName name="ост_БП">[4]Лист1!$K$212</definedName>
    <definedName name="ост_ВСЕГО">[4]Лист1!$K$219</definedName>
    <definedName name="ост_греч">[4]Лист1!$H$24</definedName>
    <definedName name="ост_мраст">[4]Лист1!$H$26</definedName>
    <definedName name="ост_НАС">[4]Лист1!$K$207</definedName>
    <definedName name="ост_НПК">[4]Лист1!$K$70</definedName>
    <definedName name="ост_под">[4]Лист1!$H$25</definedName>
    <definedName name="ост_просо">[4]Лист1!$H$22</definedName>
    <definedName name="ост_пф">[4]Лист1!$H$21</definedName>
    <definedName name="ост_пшено">[4]Лист1!$H$23</definedName>
    <definedName name="ост_РЗК">[4]Лист1!$K$112</definedName>
    <definedName name="ост_РПК">[4]Лист1!$K$18</definedName>
    <definedName name="ост_РСК">[4]Лист1!$K$55</definedName>
    <definedName name="ост_РЦ">[4]Лист1!$K$202</definedName>
    <definedName name="ост_ТФ">[4]Лист1!$K$65</definedName>
    <definedName name="ост_яч">[4]Лист1!$H$19</definedName>
    <definedName name="остатки_вх_день">[4]Лист1!$N$3:$Q$218</definedName>
    <definedName name="остатки_вх_мес">[4]Лист1!$I$3:$M$218</definedName>
    <definedName name="остатки_исх_день">[4]Лист1!$AB$3:$AE$218</definedName>
    <definedName name="Остаток">#REF!</definedName>
    <definedName name="остаток_всего">[4]Лист1!$T$54</definedName>
    <definedName name="Остаток_новый">#REF!</definedName>
    <definedName name="остекление">#REF!</definedName>
    <definedName name="отгр_по">[4]Лист1!$E$28</definedName>
    <definedName name="отделка">#REF!</definedName>
    <definedName name="ОТДЕЛКА_ЧЕРНОВАЯ">#REF!</definedName>
    <definedName name="отделкадома">#REF!</definedName>
    <definedName name="отдых">#REF!</definedName>
    <definedName name="ОТМОСТКА">#REF!</definedName>
    <definedName name="отопление">#REF!</definedName>
    <definedName name="отчет" hidden="1">{#N/A,#N/A,TRUE,"Буржуям"}</definedName>
    <definedName name="Отчетность">[108]Словари!$B$5:$B$6</definedName>
    <definedName name="Отчисления_от_зпл">0.385</definedName>
    <definedName name="оуекно">[0]!оуекно</definedName>
    <definedName name="оуене">[0]!оуене</definedName>
    <definedName name="оуенуен">[0]!оуенуен</definedName>
    <definedName name="оуеокук">[0]!оуеокук</definedName>
    <definedName name="оукегцк">[0]!оукегцк</definedName>
    <definedName name="оукеоео">[0]!оукеоео</definedName>
    <definedName name="Оферта">#REF!</definedName>
    <definedName name="Офис_Office_Тип_Type">[76]Inputs_Assumptions!$D$226:$D$226</definedName>
    <definedName name="ОФР2" hidden="1">{"'интерфейс'!$J$31:$M$43"}</definedName>
    <definedName name="ОФР3" hidden="1">{"'интерфейс'!$J$31:$M$43"}</definedName>
    <definedName name="ОХ">[79]Контрагенты!$C$24:$C$54</definedName>
    <definedName name="ОХР_ОБЩ">#REF!</definedName>
    <definedName name="ОХР_пл">[4]Лист1!#REF!</definedName>
    <definedName name="охр_рз">[4]Лист1!$J$103</definedName>
    <definedName name="ОХР_РУ">#REF!</definedName>
    <definedName name="ОХР_РЦ">[4]Лист1!$J$197</definedName>
    <definedName name="ОХР_тек">[4]Лист1!$K$203</definedName>
    <definedName name="ОХР_Уфа">[4]Лист1!#REF!</definedName>
    <definedName name="охрана">#REF!</definedName>
    <definedName name="оцек">[0]!оцек</definedName>
    <definedName name="оцк5ншуе">[0]!оцк5ншуе</definedName>
    <definedName name="ош">[0]!ош</definedName>
    <definedName name="Ошибка">#REF!</definedName>
    <definedName name="Ошибка__Курск_59.9999999999999">[4]Лист1!$AR$55</definedName>
    <definedName name="ошшш">[0]!ошшш</definedName>
    <definedName name="оывкаеоео">[0]!оывкаеоео</definedName>
    <definedName name="оьщжш" hidden="1">{"'Prices'!$A$4:$J$27"}</definedName>
    <definedName name="п" hidden="1">{"glc1",#N/A,FALSE,"GLC";"glc2",#N/A,FALSE,"GLC";"glc3",#N/A,FALSE,"GLC";"glc4",#N/A,FALSE,"GLC";"glc5",#N/A,FALSE,"GLC"}</definedName>
    <definedName name="п_3к_а">[4]Лист1!#REF!</definedName>
    <definedName name="п_3к_д">[4]Лист1!$D$21</definedName>
    <definedName name="п_3к_дпр">[4]Лист1!$F$21</definedName>
    <definedName name="п_3к_т">[4]Лист1!$C$21</definedName>
    <definedName name="п_3к_тпр">[4]Лист1!$E$21</definedName>
    <definedName name="п_3кэ_а">[4]Лист1!#REF!</definedName>
    <definedName name="п_3кэ_д">[4]Лист1!$D$22</definedName>
    <definedName name="п_3кэ_дпр">[4]Лист1!$F$22</definedName>
    <definedName name="п_3кэ_т">[4]Лист1!$C$22</definedName>
    <definedName name="п_3кэ_тпр">[4]Лист1!$E$22</definedName>
    <definedName name="п_3суд">#REF!</definedName>
    <definedName name="п_всего_тек">#REF!</definedName>
    <definedName name="п_дб">[4]Лист1!$K$87</definedName>
    <definedName name="п_день_долл">#REF!</definedName>
    <definedName name="п_день_руб">#REF!</definedName>
    <definedName name="п_инв">[4]Лист1!$K$90</definedName>
    <definedName name="п_инв1">#REF!</definedName>
    <definedName name="п_инв2">#REF!</definedName>
    <definedName name="п_инв3">#REF!</definedName>
    <definedName name="п_ма">#REF!</definedName>
    <definedName name="п_мк_мас">[4]Лист1!$K$48</definedName>
    <definedName name="п_мр_а">[4]Лист1!#REF!</definedName>
    <definedName name="п_мр_д">[4]Лист1!$D$23</definedName>
    <definedName name="п_мр_дпр">[4]Лист1!$F$23</definedName>
    <definedName name="п_мр_т">[4]Лист1!$C$23</definedName>
    <definedName name="п_мр_тпр">[4]Лист1!$E$23</definedName>
    <definedName name="п_оао_11">#REF!</definedName>
    <definedName name="п_оао_13">#REF!</definedName>
    <definedName name="п_оао_15">#REF!</definedName>
    <definedName name="п_оао_8">#REF!</definedName>
    <definedName name="п_оао_птр">#REF!</definedName>
    <definedName name="п_оао_р">#REF!</definedName>
    <definedName name="п_оао_т">#REF!</definedName>
    <definedName name="п_оао1">#REF!</definedName>
    <definedName name="п_оао10">#REF!</definedName>
    <definedName name="п_оао2">#REF!</definedName>
    <definedName name="п_оао3">#REF!</definedName>
    <definedName name="п_оао4">#REF!</definedName>
    <definedName name="п_оао5">#REF!</definedName>
    <definedName name="п_оао6">#REF!</definedName>
    <definedName name="п_оао7">#REF!</definedName>
    <definedName name="п_оао9">#REF!</definedName>
    <definedName name="п_овз">[4]Лист1!$K$85</definedName>
    <definedName name="п_офо_12">#REF!</definedName>
    <definedName name="п_пен">[4]Лист1!$K$81</definedName>
    <definedName name="п_пк_гов">[4]Лист1!$K$49</definedName>
    <definedName name="п_пк_дтуш">[4]Лист1!$K$46</definedName>
    <definedName name="п_пк_мас">#REF!</definedName>
    <definedName name="п_пк_мс">[4]Лист1!$K$47</definedName>
    <definedName name="п_пк_туш">[4]Лист1!$K$44</definedName>
    <definedName name="П_ПНОС">#REF!</definedName>
    <definedName name="п_погдеб">[4]Лист1!$K$86</definedName>
    <definedName name="п_под_а">[4]Лист1!#REF!</definedName>
    <definedName name="п_под_д">[4]Лист1!$D$26</definedName>
    <definedName name="п_под_дпр">[4]Лист1!$F$26</definedName>
    <definedName name="п_под_т">[4]Лист1!$C$26</definedName>
    <definedName name="п_под_тпр">[4]Лист1!$E$26</definedName>
    <definedName name="П_произв">#REF!</definedName>
    <definedName name="п_проч">[4]Лист1!$K$88</definedName>
    <definedName name="П_прочие">#REF!</definedName>
    <definedName name="п_пф_а">[4]Лист1!#REF!</definedName>
    <definedName name="п_пф_д">[4]Лист1!$D$19</definedName>
    <definedName name="п_пф_дпр">[4]Лист1!$F$19</definedName>
    <definedName name="п_пф_т">[4]Лист1!$C$19</definedName>
    <definedName name="п_пф_тпр">[4]Лист1!$E$19</definedName>
    <definedName name="п_р_уфа">[4]Лист1!$K$51</definedName>
    <definedName name="п_рз_3к">[4]Лист1!$K$25</definedName>
    <definedName name="п_рз_греч">[4]Лист1!$K$18</definedName>
    <definedName name="п_рз_деб">[4]Лист1!$K$14</definedName>
    <definedName name="п_рз_мр">#REF!</definedName>
    <definedName name="п_рз_мрас">[4]Лист1!$K$17</definedName>
    <definedName name="п_рз_п4">#REF!</definedName>
    <definedName name="п_рз_подс">[4]Лист1!$K$22</definedName>
    <definedName name="п_рз_прос">[4]Лист1!$K$20</definedName>
    <definedName name="п_рз_пф">[4]Лист1!$K$24</definedName>
    <definedName name="п_рз_яч">[4]Лист1!$K$23</definedName>
    <definedName name="п_рзя">#REF!</definedName>
    <definedName name="п_рпк_тиого">#REF!</definedName>
    <definedName name="п_рск_3">#REF!</definedName>
    <definedName name="п_рск_в">#REF!</definedName>
    <definedName name="п_ру_деб">#REF!</definedName>
    <definedName name="п_ру_кр">#REF!</definedName>
    <definedName name="п_ру_мк">#REF!</definedName>
    <definedName name="п_ру_моб">[4]Лист1!#REF!</definedName>
    <definedName name="п_ру_мрж">#REF!</definedName>
    <definedName name="п_ру_рожь">#REF!</definedName>
    <definedName name="п_ру_сах">#REF!</definedName>
    <definedName name="п_ру_яйц">#REF!</definedName>
    <definedName name="п_ск_3суд">#REF!</definedName>
    <definedName name="п_ск_7суд">#REF!</definedName>
    <definedName name="п_ск_гилл">[4]Лист1!$K$33</definedName>
    <definedName name="п_ск_кар">[4]Лист1!$K$32</definedName>
    <definedName name="п_ск_пак">[4]Лист1!$K$39</definedName>
    <definedName name="п_ск_там">[4]Лист1!$K$40</definedName>
    <definedName name="п_ск_ук">[4]Лист1!$K$31</definedName>
    <definedName name="п_ск_укрд">#REF!</definedName>
    <definedName name="П_Смета">#REF!</definedName>
    <definedName name="п_тек_ком">#REF!</definedName>
    <definedName name="П_техн">#REF!</definedName>
    <definedName name="п_тф">[4]Лист1!$K$69</definedName>
    <definedName name="п_тш_гум">#REF!</definedName>
    <definedName name="п_тш_урк">#REF!</definedName>
    <definedName name="П_у1">[4]Лист1!#REF!</definedName>
    <definedName name="п_у2">[4]Лист1!$K$56</definedName>
    <definedName name="п_у3">[4]Лист1!$K$57</definedName>
    <definedName name="п_у4">[4]Лист1!#REF!</definedName>
    <definedName name="п_у5">[4]Лист1!$K$58</definedName>
    <definedName name="п_у6">[4]Лист1!$K$59</definedName>
    <definedName name="п_у7">[4]Лист1!$K$60</definedName>
    <definedName name="п_фин">[4]Лист1!$K$93</definedName>
    <definedName name="п_фин__КБ">#REF!</definedName>
    <definedName name="п_фин_кб">#REF!</definedName>
    <definedName name="п_фин_кр">[4]Лист1!$K$94</definedName>
    <definedName name="п_фин_овер_рз">#REF!</definedName>
    <definedName name="п_фин_овер1">#REF!</definedName>
    <definedName name="п_фин_проч">#REF!</definedName>
    <definedName name="п_фин_с_3">#REF!</definedName>
    <definedName name="п_фин_фозкр">[4]Лист1!$K$95</definedName>
    <definedName name="п_фин3">#REF!</definedName>
    <definedName name="п_фин4">#REF!</definedName>
    <definedName name="п_фин6">#REF!</definedName>
    <definedName name="п_фин7">#REF!</definedName>
    <definedName name="П_янв">#REF!</definedName>
    <definedName name="п_яч_а">[4]Лист1!#REF!</definedName>
    <definedName name="п_яч_д">[4]Лист1!$D$20</definedName>
    <definedName name="п_яч_дпр">[4]Лист1!$F$20</definedName>
    <definedName name="п_яч_т">[4]Лист1!$C$20</definedName>
    <definedName name="п_яч_тпр">[4]Лист1!$E$20</definedName>
    <definedName name="ПL12">#REF!</definedName>
    <definedName name="ПL13">#REF!</definedName>
    <definedName name="ПL134">#REF!</definedName>
    <definedName name="ПL136">#REF!</definedName>
    <definedName name="ПL139">#REF!</definedName>
    <definedName name="ПL140">#REF!</definedName>
    <definedName name="ПL141">#REF!</definedName>
    <definedName name="ПL142">#REF!</definedName>
    <definedName name="ПL143">#REF!</definedName>
    <definedName name="пL32">#REF!</definedName>
    <definedName name="ПL39">#REF!</definedName>
    <definedName name="ПL42">#REF!</definedName>
    <definedName name="ПL59">#REF!</definedName>
    <definedName name="ПL73">#REF!</definedName>
    <definedName name="па">#REF!</definedName>
    <definedName name="паа">[109]Настройка!$A$5</definedName>
    <definedName name="павпавпас" hidden="1">[23]MAIN!#REF!</definedName>
    <definedName name="паег">[0]!паег</definedName>
    <definedName name="пан">[0]!пан</definedName>
    <definedName name="панорама" hidden="1">{#N/A,#N/A,TRUE,"Буржуям"}</definedName>
    <definedName name="паоо">[0]!паоо</definedName>
    <definedName name="паопво">[0]!паопво</definedName>
    <definedName name="папа" hidden="1">{"konoplin - Личное представление",#N/A,TRUE,"ФинПлан_1кв";"konoplin - Личное представление",#N/A,TRUE,"ФинПлан_2кв"}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аметр">'[93]Предпр.-взвеш. оценка'!#REF!</definedName>
    <definedName name="параоппо">[0]!параоппо</definedName>
    <definedName name="парврп">[0]!парврп</definedName>
    <definedName name="парковка">#REF!</definedName>
    <definedName name="парыа">[0]!парыа</definedName>
    <definedName name="пасвп">[0]!пасвп</definedName>
    <definedName name="пась">[0]!пась</definedName>
    <definedName name="патока">[4]Лист1!$AD$89</definedName>
    <definedName name="паыарыа">[0]!паыарыа</definedName>
    <definedName name="пвап" hidden="1">#REF!</definedName>
    <definedName name="пвр.у.е.">'[31]Гр+'!#REF!</definedName>
    <definedName name="ПВС1">[110]НФИк!$A$17</definedName>
    <definedName name="пеаннпа">[0]!пеаннпа</definedName>
    <definedName name="певопро">[0]!певопро</definedName>
    <definedName name="пелвлр">[0]!пелвлр</definedName>
    <definedName name="пен">[0]!пен</definedName>
    <definedName name="пеол">[0]!пеол</definedName>
    <definedName name="первый_взнос">[31]ВводД!$C$1</definedName>
    <definedName name="перевалка">[4]СКР!$D$67</definedName>
    <definedName name="перевалка_Шексна">[4]СКР!$D$67</definedName>
    <definedName name="перегородки">#REF!</definedName>
    <definedName name="ПЕРЕКРЫТИЕ">#REF!</definedName>
    <definedName name="ПЕРЕКРЫТИЕ_ЛЕСТН">#REF!</definedName>
    <definedName name="перекрытия">#REF!</definedName>
    <definedName name="перемычки">#REF!</definedName>
    <definedName name="перепланировка">#REF!</definedName>
    <definedName name="перер_просо_неопл">[4]Лист1!$L$154</definedName>
    <definedName name="Перераб_просо">[4]Лист1!$K$154</definedName>
    <definedName name="Перераб_просо_своб">[4]Лист1!$I$154</definedName>
    <definedName name="ПерЗ1">[4]Лист1!#REF!</definedName>
    <definedName name="Период">#REF!</definedName>
    <definedName name="пеьовпно">[0]!пеьовпно</definedName>
    <definedName name="ПИ">#REF!</definedName>
    <definedName name="пив">'[4]Фин. вложения'!$J$58</definedName>
    <definedName name="пиво">[4]Лист1!$X$89</definedName>
    <definedName name="пиит" hidden="1">{"'Prices'!$A$4:$J$27"}</definedName>
    <definedName name="письмо">#REF!</definedName>
    <definedName name="пй" hidden="1">{#N/A,#N/A,FALSE,"Aging Summary";#N/A,#N/A,FALSE,"Ratio Analysis";#N/A,#N/A,FALSE,"Test 120 Day Accts";#N/A,#N/A,FALSE,"Tickmarks"}</definedName>
    <definedName name="пл">#REF!</definedName>
    <definedName name="Пл_земля">[94]Исход.инф.!$B$9</definedName>
    <definedName name="плJ10">#REF!</definedName>
    <definedName name="плJ12">#REF!</definedName>
    <definedName name="плJ39">#REF!</definedName>
    <definedName name="плJ55">#REF!</definedName>
    <definedName name="плJ68">#REF!</definedName>
    <definedName name="плN10">#REF!</definedName>
    <definedName name="плN12">#REF!</definedName>
    <definedName name="плN39">#REF!</definedName>
    <definedName name="плN55">#REF!</definedName>
    <definedName name="плN68">#REF!</definedName>
    <definedName name="плT10">#REF!</definedName>
    <definedName name="плT12">#REF!</definedName>
    <definedName name="плT39">#REF!</definedName>
    <definedName name="плT55">#REF!</definedName>
    <definedName name="плT68">#REF!</definedName>
    <definedName name="план04ЛССМУ">'[31]Гр+'!#REF!</definedName>
    <definedName name="план04МФТЦ">'[31]Гр+'!#REF!</definedName>
    <definedName name="планир.год">#REF!</definedName>
    <definedName name="планировка">#REF!</definedName>
    <definedName name="ПланПУ">#REF!</definedName>
    <definedName name="плата" hidden="1">{#N/A,#N/A,TRUE,"Буржуям"}</definedName>
    <definedName name="плвпрл">[0]!плвпрл</definedName>
    <definedName name="плита">#REF!</definedName>
    <definedName name="ПЛО" hidden="1">{#N/A,#N/A,TRUE,"Буржуям"}</definedName>
    <definedName name="ПлотностьЗастройки">[41]Параметры!$B$12</definedName>
    <definedName name="ПлощадьУчастка">[41]Параметры!$B$10</definedName>
    <definedName name="плюсНДС">#N/A</definedName>
    <definedName name="пн">[0]!пн</definedName>
    <definedName name="пнгенгшенг">[0]!пнгенгшенг</definedName>
    <definedName name="пнгншен">[0]!пнгншен</definedName>
    <definedName name="ПО">#REF!</definedName>
    <definedName name="ПО1">[4]Лист1!$E$20</definedName>
    <definedName name="ПО2">[4]Лист1!$E$33</definedName>
    <definedName name="поа">'[111]Предпр.-взвеш. оценка'!#REF!</definedName>
    <definedName name="поао">[0]!поао</definedName>
    <definedName name="погмпп">[0]!погмпп</definedName>
    <definedName name="подсол">[4]Лист1!#REF!</definedName>
    <definedName name="подсол_дол">[4]Лист1!#REF!</definedName>
    <definedName name="подсол_дол_факт">[4]Лист1!#REF!</definedName>
    <definedName name="подсол_руб">[4]Лист1!#REF!</definedName>
    <definedName name="подсол_руб_факт">[4]Лист1!#REF!</definedName>
    <definedName name="подсол_факт">[4]Лист1!#REF!</definedName>
    <definedName name="подсолн_отгр">[4]Лист1!$F$232</definedName>
    <definedName name="подсолнечник">[4]Лист1!$F$232</definedName>
    <definedName name="подсолнух">[4]Лист1!$V$89</definedName>
    <definedName name="поелпл">[0]!поелпл</definedName>
    <definedName name="поенгкге">[0]!поенгкге</definedName>
    <definedName name="Покупка">[4]Лист1!$AA$89</definedName>
    <definedName name="ПОЛИКАРБОНАТ">'[34]см. ЦЕНЫ '!$B$288</definedName>
    <definedName name="полп">#REF!</definedName>
    <definedName name="полппо">[0]!полппо</definedName>
    <definedName name="полы">#REF!</definedName>
    <definedName name="помощь" hidden="1">{#N/A,#N/A,TRUE,"Буржуям"}</definedName>
    <definedName name="понпгш">[0]!понпгш</definedName>
    <definedName name="попкорн">'[4]Фин. вложения'!#REF!</definedName>
    <definedName name="попопопопопо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попопр">[0]!попопопр</definedName>
    <definedName name="поправка">[35]П!#REF!</definedName>
    <definedName name="попропро">[0]!попропро</definedName>
    <definedName name="пор">'[4]Баланс-новый'!$G$3</definedName>
    <definedName name="порлр">[0]!порлр</definedName>
    <definedName name="порог">2000</definedName>
    <definedName name="пороророророрхз" hidden="1">{"glc1",#N/A,FALSE,"GLC";"glc2",#N/A,FALSE,"GLC";"glc3",#N/A,FALSE,"GLC";"glc4",#N/A,FALSE,"GLC";"glc5",#N/A,FALSE,"GLC"}</definedName>
    <definedName name="порпо">[4]Лист1!$I$2</definedName>
    <definedName name="ПОсД1">[4]Лист1!#REF!</definedName>
    <definedName name="Последняя_строка">#REF!</definedName>
    <definedName name="пост_ск">#REF!</definedName>
    <definedName name="ПостЗ1">[4]Лист1!#REF!</definedName>
    <definedName name="поступление">[4]Лист1!$R$3:$R$218</definedName>
    <definedName name="потв">[0]!потв</definedName>
    <definedName name="Потенциальный_Валовый_Доход___ПВД">'[28]Метод остатка'!#REF!</definedName>
    <definedName name="потолок">#REF!</definedName>
    <definedName name="Потребители">'[112]Пр. №3 Справочник "Контрагенты"'!$C$5:$C$30</definedName>
    <definedName name="почие" hidden="1">{#N/A,#N/A,TRUE,"Буржуям"}</definedName>
    <definedName name="пп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пп" hidden="1">{#N/A,#N/A,FALSE,"Virgin Flightdeck"}</definedName>
    <definedName name="ППППППП" hidden="1">{#N/A,#N/A,TRUE,"Буржуям"}</definedName>
    <definedName name="пппппппп" hidden="1">{"'Sheet1'!$A$1:$G$85"}</definedName>
    <definedName name="ппш0">#REF!</definedName>
    <definedName name="ппш1">#REF!</definedName>
    <definedName name="ппш2">#REF!</definedName>
    <definedName name="ппш3">#REF!</definedName>
    <definedName name="пр" hidden="1">{"assets",#N/A,FALSE,"historicBS";"liab",#N/A,FALSE,"historicBS";"is",#N/A,FALSE,"historicIS";"ratios",#N/A,FALSE,"ratios"}</definedName>
    <definedName name="пр_выб_РЦ">[4]Лист1!$J$201</definedName>
    <definedName name="Пр_по_отгр">[4]Лист1!$V$95</definedName>
    <definedName name="права">#REF!</definedName>
    <definedName name="предметы" hidden="1">{#N/A,#N/A,TRUE,"Буржуям"}</definedName>
    <definedName name="предопл">[4]MACRO!#REF!</definedName>
    <definedName name="предп_д">#REF!</definedName>
    <definedName name="предприятие">[55]нормы!$E$3</definedName>
    <definedName name="през_дол">#REF!</definedName>
    <definedName name="президент">#REF!</definedName>
    <definedName name="престижность">#REF!</definedName>
    <definedName name="прЗд">#REF!</definedName>
    <definedName name="приб" hidden="1">{#N/A,#N/A,TRUE,"Буржуям"}</definedName>
    <definedName name="Прибыль" hidden="1">{#N/A,#N/A,TRUE,"Буржуям"}</definedName>
    <definedName name="прибыль_всего_факт">[4]СКР!$Z$35</definedName>
    <definedName name="придомовая">#REF!</definedName>
    <definedName name="ПризнакР">#REF!</definedName>
    <definedName name="прИн">#REF!</definedName>
    <definedName name="ПРИЯМКИ_ЛИФТОВ">#REF!</definedName>
    <definedName name="ПРИЯМКИ_ОСИ_1_9">#REF!</definedName>
    <definedName name="прМаш">#REF!</definedName>
    <definedName name="прнылг" hidden="1">{"glc1",#N/A,FALSE,"GLC";"glc2",#N/A,FALSE,"GLC";"glc3",#N/A,FALSE,"GLC";"glc4",#N/A,FALSE,"GLC";"glc5",#N/A,FALSE,"GLC"}</definedName>
    <definedName name="про">'[113]Машины и оборудование'!$D$56</definedName>
    <definedName name="проав" hidden="1">{"glc1",#N/A,FALSE,"GLC";"glc2",#N/A,FALSE,"GLC";"glc3",#N/A,FALSE,"GLC";"glc4",#N/A,FALSE,"GLC";"glc5",#N/A,FALSE,"GLC"}</definedName>
    <definedName name="проапншн">[0]!проапншн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бивка_борозд_в_кирпичных_стенах_для_прокладки_трубных_подводок_сечением_борозд_40х40мм">#REF!</definedName>
    <definedName name="прод">[4]Лист1!$L$68</definedName>
    <definedName name="прод.пл.">[56]бог!#REF!</definedName>
    <definedName name="прод.пл.встр.">#REF!</definedName>
    <definedName name="прод.пл.встр.мфтц">#REF!</definedName>
    <definedName name="прод.пл.кв.">[56]бог!#REF!</definedName>
    <definedName name="прод.пл.кв.мфтц">#REF!</definedName>
    <definedName name="прод.пл.мфтц">'[56]мфтц,к.4'!#REF!</definedName>
    <definedName name="прод.ст.">#REF!</definedName>
    <definedName name="Продажи">'[114]Расчёт 2005'!$K$4</definedName>
    <definedName name="Продажи2">#REF!</definedName>
    <definedName name="продан.пл.">[56]бог!#REF!</definedName>
    <definedName name="продан.пл.встр.">#REF!</definedName>
    <definedName name="проезд" hidden="1">{#N/A,#N/A,TRUE,"Буржуям"}</definedName>
    <definedName name="Проект">#REF!</definedName>
    <definedName name="ПРОЁМЫ">#REF!</definedName>
    <definedName name="пром">'[115]Исх дан'!#REF!</definedName>
    <definedName name="прон" hidden="1">{"assets",#N/A,FALSE,"historicBS";"liab",#N/A,FALSE,"historicBS";"is",#N/A,FALSE,"historicIS";"ratios",#N/A,FALSE,"ratios"}</definedName>
    <definedName name="пропоп">[0]!пропоп</definedName>
    <definedName name="пропопо">[0]!пропопо</definedName>
    <definedName name="пропорд">[0]!пропорд</definedName>
    <definedName name="пропуск" hidden="1">#REF!</definedName>
    <definedName name="проспект" hidden="1">{"assets",#N/A,FALSE,"historicBS";"liab",#N/A,FALSE,"historicBS";"is",#N/A,FALSE,"historicIS";"ratios",#N/A,FALSE,"ratios"}</definedName>
    <definedName name="протечка">#REF!</definedName>
    <definedName name="проц_КФВ">[4]Поступления!$D$44</definedName>
    <definedName name="Проц1">[4]Лист1!#REF!</definedName>
    <definedName name="процент">#REF!</definedName>
    <definedName name="Процент_реализ">#REF!</definedName>
    <definedName name="Процент_себестомость">[74]Служебный!$J$7</definedName>
    <definedName name="Проценты">#REF!</definedName>
    <definedName name="ПроцИзПр1">[4]Лист1!#REF!</definedName>
    <definedName name="процкред">[4]Лист1!$B$27</definedName>
    <definedName name="процфин">[4]Лист1!$G$37</definedName>
    <definedName name="Проч_выб7">[4]Лист1!#REF!</definedName>
    <definedName name="проч_инв">[4]Лист1!#REF!</definedName>
    <definedName name="проч_пост_фин">[4]Лист1!#REF!</definedName>
    <definedName name="Прочдох_всего">#REF!</definedName>
    <definedName name="ПрочДох1">[4]Лист1!#REF!</definedName>
    <definedName name="Прочее" hidden="1">{#N/A,#N/A,TRUE,"Буржуям"}</definedName>
    <definedName name="ПРОЧИЕ">#REF!</definedName>
    <definedName name="Прочие_материалы">#REF!</definedName>
    <definedName name="ПрочР1">[4]Лист1!#REF!</definedName>
    <definedName name="Прочрасх_всего">#REF!</definedName>
    <definedName name="прп">'[28]Метод остатка'!#REF!</definedName>
    <definedName name="прПер">#REF!</definedName>
    <definedName name="прпрпр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hidden="1">{#N/A,#N/A,TRUE,"Буржуям"}</definedName>
    <definedName name="пррпрпрпрпр" hidden="1">{"glc1",#N/A,FALSE,"GLC";"glc2",#N/A,FALSE,"GLC";"glc3",#N/A,FALSE,"GLC";"glc4",#N/A,FALSE,"GLC";"glc5",#N/A,FALSE,"GLC"}</definedName>
    <definedName name="прСоор">#REF!</definedName>
    <definedName name="прТр">#REF!</definedName>
    <definedName name="пршгр">[0]!пршгр</definedName>
    <definedName name="прывапрва">[0]!прывапрва</definedName>
    <definedName name="прывп">[0]!прывп</definedName>
    <definedName name="прыкерыкае">[0]!прыкерыкае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пспр">[0]!пспр</definedName>
    <definedName name="птица">[4]Хотмыжск!#REF!</definedName>
    <definedName name="пуркр">[0]!пуркр</definedName>
    <definedName name="пфвапва">[0]!пфвапва</definedName>
    <definedName name="пцыуп">[0]!пцыуп</definedName>
    <definedName name="пш_3_отг">[4]Лист1!$F$189</definedName>
    <definedName name="пш_3_отг_ДС">[4]Лист1!$M$189</definedName>
    <definedName name="пш_3кл">[4]Лист1!$E$51</definedName>
    <definedName name="пш_3кл_дол">[4]Лист1!$H$51</definedName>
    <definedName name="пш_3кл_дол_факт">[4]Лист1!#REF!</definedName>
    <definedName name="пш_3кл_ДС_по">[4]Лист1!$F$134</definedName>
    <definedName name="пш_3кл_ДС_факт">[4]Лист1!$G$134</definedName>
    <definedName name="пш_3кл_руб">[4]Лист1!$G$51</definedName>
    <definedName name="пш_3кл_руб_по">[4]Лист1!$I$52</definedName>
    <definedName name="пш_3кл_руб_факт">[4]Лист1!$J$52</definedName>
    <definedName name="пш_3кл_тонн_по">[4]Лист1!$F$52</definedName>
    <definedName name="пш_3кл_тонн_факт">[4]Лист1!$G$52</definedName>
    <definedName name="пш_3кл_факт">[4]Лист1!#REF!</definedName>
    <definedName name="Пш_4">[4]Лист1!$W$89</definedName>
    <definedName name="пш_4кл">[4]Лист1!$E$53</definedName>
    <definedName name="пш_4кл_дол">[4]Лист1!$H$53</definedName>
    <definedName name="пш_4кл_дол_факт">[4]Лист1!#REF!</definedName>
    <definedName name="пш_4кл_ДС_по">[4]Лист1!$F$135</definedName>
    <definedName name="пш_4кл_ДС_факт">[4]Лист1!$G$135</definedName>
    <definedName name="пш_4кл_руб">[4]Лист1!$G$53</definedName>
    <definedName name="пш_4кл_руб_по">[4]Лист1!$I$53</definedName>
    <definedName name="пш_4кл_руб_факт">[4]Лист1!$J$53</definedName>
    <definedName name="пш_4кл_тонн_по">[4]Лист1!$F$53</definedName>
    <definedName name="пш_4кл_тонн_факт">[4]Лист1!$G$53</definedName>
    <definedName name="пш_4кл_факт">[4]Лист1!#REF!</definedName>
    <definedName name="пш_5">[4]Лист1!$U$89</definedName>
    <definedName name="пш_5кл">[4]Лист1!$E$54</definedName>
    <definedName name="пш_5кл_дол">[4]Лист1!$H$54</definedName>
    <definedName name="пш_5кл_дол_факт">[4]Лист1!#REF!</definedName>
    <definedName name="пш_5кл_руб">[4]Лист1!$G$54</definedName>
    <definedName name="пш_5кл_руб_факт">[4]Лист1!#REF!</definedName>
    <definedName name="пш_5кл_факт">[4]Лист1!#REF!</definedName>
    <definedName name="Пш_ф">[4]Лист1!$S$89</definedName>
    <definedName name="пш_фур_ДС_по">[4]Лист1!$F$136</definedName>
    <definedName name="пш_фур_ДС_факт">[4]Лист1!$G$136</definedName>
    <definedName name="пш_фур_отг">[4]Лист1!$F$190</definedName>
    <definedName name="пш_фур_отг_ДС">[4]Лист1!$M$190</definedName>
    <definedName name="пш_фур_руб_по">[4]Лист1!$I$54</definedName>
    <definedName name="пш_фур_руб_факт">[4]Лист1!$J$54</definedName>
    <definedName name="пш_фур_тонн_по">[4]Лист1!$F$54</definedName>
    <definedName name="пш_фур_тонн_факт">[4]Лист1!$G$54</definedName>
    <definedName name="пш3клПО">[4]Лист1!$M$52</definedName>
    <definedName name="пш3клФ">[4]Лист1!$N$52</definedName>
    <definedName name="пш4клДС">[4]Лист1!$M$53</definedName>
    <definedName name="пш4клФ">[4]Лист1!$N$53</definedName>
    <definedName name="Пшено_своб_Бобров">[4]Лист1!$I$170</definedName>
    <definedName name="Пшено_своб_Ставр">[4]Лист1!$I$172</definedName>
    <definedName name="Пшн">'[4]Фин. вложения'!$D$58</definedName>
    <definedName name="Пшн_4">'[4]Фин. вложения'!$H$58</definedName>
    <definedName name="Пшн_5">'[4]Фин. вложения'!$F$58</definedName>
    <definedName name="пшфПО">[4]Лист1!$M$54</definedName>
    <definedName name="пшфФ">[4]Лист1!$N$54</definedName>
    <definedName name="пыты">[0]!пыты</definedName>
    <definedName name="пыукрп">[0]!пыукрп</definedName>
    <definedName name="пьл">[0]!пьл</definedName>
    <definedName name="пьораоа">[0]!пьораоа</definedName>
    <definedName name="пьраб">[0]!пьраб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0ъх">[0]!р0ъх</definedName>
    <definedName name="р1">#REF!</definedName>
    <definedName name="р2">#REF!</definedName>
    <definedName name="р3">#REF!</definedName>
    <definedName name="РАБОТА">'[34]см. ЦЕНЫ '!#REF!</definedName>
    <definedName name="работа_БАНК">#REF!</definedName>
    <definedName name="работа_ЖД">#REF!</definedName>
    <definedName name="работа_НЕЖИЛ">#REF!</definedName>
    <definedName name="равы" hidden="1">{"glc1",#N/A,FALSE,"GLC";"glc2",#N/A,FALSE,"GLC";"glc3",#N/A,FALSE,"GLC";"glc4",#N/A,FALSE,"GLC";"glc5",#N/A,FALSE,"GLC"}</definedName>
    <definedName name="раз1">#REF!</definedName>
    <definedName name="раз2">#REF!</definedName>
    <definedName name="раз3">#REF!</definedName>
    <definedName name="Разборка_полов_с_лагами_и_дощатым_основанием">#REF!</definedName>
    <definedName name="разборки">#REF!</definedName>
    <definedName name="разборкистен">#REF!</definedName>
    <definedName name="раовлпр">#REF!</definedName>
    <definedName name="рапр">[0]!рапр</definedName>
    <definedName name="рар">[0]!рар</definedName>
    <definedName name="рарвар">[0]!рарвар</definedName>
    <definedName name="раргено">[0]!раргено</definedName>
    <definedName name="Рас_т">#REF!</definedName>
    <definedName name="рассрочка">[31]ВводД!$E$1</definedName>
    <definedName name="расфивровка" hidden="1">{#N/A,#N/A,TRUE,"Буржуям"}</definedName>
    <definedName name="Расх_внепр">#REF!</definedName>
    <definedName name="Расх_доп">#REF!</definedName>
    <definedName name="расход" hidden="1">{#N/A,#N/A,TRUE,"Буржуям"}</definedName>
    <definedName name="Расч">#REF!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ваарв">[0]!рваарв</definedName>
    <definedName name="рваперво">[0]!рваперво</definedName>
    <definedName name="рварар">[0]!рварар</definedName>
    <definedName name="рвкеьо">[0]!рвкеьо</definedName>
    <definedName name="рво">[0]!рво</definedName>
    <definedName name="рглшпгдщнгрогшено">[0]!рглшпгдщнгрогшено</definedName>
    <definedName name="рдлнглщгш">[0]!рдлнглщгш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г">[62]списки!$E$21</definedName>
    <definedName name="рез">#REF!</definedName>
    <definedName name="Резерв">#REF!</definedName>
    <definedName name="Результат_Доходный" hidden="1">{"glc1",#N/A,FALSE,"GLC";"glc2",#N/A,FALSE,"GLC";"glc3",#N/A,FALSE,"GLC";"glc4",#N/A,FALSE,"GLC";"glc5",#N/A,FALSE,"GLC"}</definedName>
    <definedName name="ремраб">#REF!</definedName>
    <definedName name="Рента">#REF!</definedName>
    <definedName name="Рентаб_сред">#REF!</definedName>
    <definedName name="Рентпродаж_всего">#REF!</definedName>
    <definedName name="решетки">#REF!</definedName>
    <definedName name="Рж">[4]б!$H$44</definedName>
    <definedName name="ржа">'[4]Фин. вложения'!$N$58</definedName>
    <definedName name="рз">[4]Лист1!$D$64</definedName>
    <definedName name="рз_1">#REF!</definedName>
    <definedName name="рз_зернсм">#REF!</definedName>
    <definedName name="РЗ_кред">[4]Лист1!$F$17</definedName>
    <definedName name="РЗ_пл">[4]Лист1!#REF!</definedName>
    <definedName name="РЗ_пл_пост">[4]Лист1!#REF!</definedName>
    <definedName name="РЗ_ПОСТ_ТЕК_ВСЕГО">[4]Лист1!$K$12</definedName>
    <definedName name="РЗ_рег_выб">[4]Лист1!$K$128</definedName>
    <definedName name="РЗ_рег_пост">[4]Лист1!$K$26</definedName>
    <definedName name="РЗ_справ">#REF!</definedName>
    <definedName name="РЗ_тек">[4]Лист1!$K$134</definedName>
    <definedName name="РЗ_тек_зак">[4]Лист1!$K$135</definedName>
    <definedName name="РЗ_тек_пост">[4]Лист1!$K$27</definedName>
    <definedName name="РЗК_хранение">[4]СКР!$D$24</definedName>
    <definedName name="РЗпр">[4]Лист1!#REF!</definedName>
    <definedName name="рис">[4]Лист1!$E$89</definedName>
    <definedName name="Рис_с">'[4]Фин. вложения'!$D$36</definedName>
    <definedName name="ркарка">[0]!ркарка</definedName>
    <definedName name="ркецкее">[0]!ркецкее</definedName>
    <definedName name="ркр">[0]!ркр</definedName>
    <definedName name="рленген">[0]!рленген</definedName>
    <definedName name="рлоло">[0]!рлоло</definedName>
    <definedName name="рлшрпбдопв">#REF!</definedName>
    <definedName name="рнвуегу">[0]!рнвуегу</definedName>
    <definedName name="рнен">[0]!рнен</definedName>
    <definedName name="рнкекв">[0]!рнкекв</definedName>
    <definedName name="рнкенкнр">[0]!рнкенкнр</definedName>
    <definedName name="рнкорекг">[0]!рнкорекг</definedName>
    <definedName name="рнкпрар">[0]!рнкпрар</definedName>
    <definedName name="рнш">[0]!рнш</definedName>
    <definedName name="рныкее">[0]!рныкее</definedName>
    <definedName name="рныкнкн">[0]!рныкнкн</definedName>
    <definedName name="РО" hidden="1">#REF!</definedName>
    <definedName name="роа">#REF!</definedName>
    <definedName name="ровекеекцу">[0]!ровекеекцу</definedName>
    <definedName name="рог">[0]!рог</definedName>
    <definedName name="родланшдан">[0]!родланшдан</definedName>
    <definedName name="рожро">#REF!</definedName>
    <definedName name="рожь">[4]Лист1!$Y$89</definedName>
    <definedName name="розетки">#REF!</definedName>
    <definedName name="рок">[33]ЛитБ!$G$351</definedName>
    <definedName name="рол">#REF!</definedName>
    <definedName name="ролт">[0]!ролт</definedName>
    <definedName name="роопоп">[0]!роопоп</definedName>
    <definedName name="ропавл" hidden="1">{#N/A,#N/A,FALSE,"Aging Summary";#N/A,#N/A,FALSE,"Ratio Analysis";#N/A,#N/A,FALSE,"Test 120 Day Accts";#N/A,#N/A,FALSE,"Tickmarks"}</definedName>
    <definedName name="ропарооа">[0]!ропарооа</definedName>
    <definedName name="ропеопо">[0]!ропеопо</definedName>
    <definedName name="рорл">[0]!рорл</definedName>
    <definedName name="роро">#REF!</definedName>
    <definedName name="роророр" hidden="1">#REF!</definedName>
    <definedName name="роророрждлв" hidden="1">{#N/A,#N/A,FALSE,"Aging Summary";#N/A,#N/A,FALSE,"Ratio Analysis";#N/A,#N/A,FALSE,"Test 120 Day Accts";#N/A,#N/A,FALSE,"Tickmarks"}</definedName>
    <definedName name="роророророр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рпио">[0]!рорпио</definedName>
    <definedName name="рост">#REF!</definedName>
    <definedName name="Рост1">#REF!</definedName>
    <definedName name="рост2" hidden="1">{"glc1",#N/A,FALSE,"GLC";"glc2",#N/A,FALSE,"GLC";"glc3",#N/A,FALSE,"GLC";"glc4",#N/A,FALSE,"GLC";"glc5",#N/A,FALSE,"GLC"}</definedName>
    <definedName name="Рост3">#REF!</definedName>
    <definedName name="Ростов_пш_3">[4]Лист1!$K$8</definedName>
    <definedName name="Ростов_пш_3_неопл">[4]Лист1!$L$8</definedName>
    <definedName name="Ростов_пш_3_своб">[4]Лист1!$I$8</definedName>
    <definedName name="Ростов_пш_4">[4]Лист1!$K$48</definedName>
    <definedName name="Ростов_пш_4_неопл">[4]Лист1!$L$48</definedName>
    <definedName name="Ростов_пш_4_св">[4]Лист1!$I$48</definedName>
    <definedName name="Ростов_пш_4_своб">[4]Лист1!$I$48</definedName>
    <definedName name="рошх">[0]!рошх</definedName>
    <definedName name="рпаап" hidden="1">[23]MAIN!#REF!</definedName>
    <definedName name="рпавнннн" hidden="1">{#N/A,#N/A,FALSE,"Aging Summary";#N/A,#N/A,FALSE,"Ratio Analysis";#N/A,#N/A,FALSE,"Test 120 Day Accts";#N/A,#N/A,FALSE,"Tickmarks"}</definedName>
    <definedName name="рпавф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гнппнм">#REF!</definedName>
    <definedName name="рпк">[4]Хотмыжск!#REF!</definedName>
    <definedName name="РПК_кредиторка">[4]СКР!$D$27</definedName>
    <definedName name="РПК_пл">[4]Лист1!#REF!</definedName>
    <definedName name="РПК_пл_зак">[4]Лист1!#REF!</definedName>
    <definedName name="РПК_пл_пост">[4]Лист1!#REF!</definedName>
    <definedName name="РПК_тек">[4]Лист1!$K$173</definedName>
    <definedName name="РПК_тек_зак">[4]Лист1!$K$193</definedName>
    <definedName name="РПК_тек_пост">[4]Лист1!$K$50</definedName>
    <definedName name="РПК_хранение">[4]СКР!$D$37</definedName>
    <definedName name="рпк1">[4]Лист1!$I$11</definedName>
    <definedName name="рпк82">[4]Лист1!$K$11</definedName>
    <definedName name="рпк83">[4]Лист1!$J$11</definedName>
    <definedName name="РПКпр">[4]Лист1!$AO$117</definedName>
    <definedName name="рплапра">[0]!рплапра</definedName>
    <definedName name="рплд" hidden="1">{"'9'!$A$1:$S$99"}</definedName>
    <definedName name="рпра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">[116]Начало!A1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{#VALUE!,#N/A,TRUE,0}</definedName>
    <definedName name="рск">[4]Лист1!$G$64</definedName>
    <definedName name="РСК_авансы_уплаченные">[4]Лист1!#REF!</definedName>
    <definedName name="рск_воз">#REF!</definedName>
    <definedName name="РСК_пл">[4]Лист1!#REF!</definedName>
    <definedName name="РСК_пл_зак">[4]Лист1!#REF!</definedName>
    <definedName name="РСК_пл_пост">[4]Лист1!#REF!</definedName>
    <definedName name="РСК_тек">[4]Лист1!$K$136</definedName>
    <definedName name="РСК_тек_зак">[4]Лист1!$K$172</definedName>
    <definedName name="РСК_тек_пост">[4]Лист1!$K$28</definedName>
    <definedName name="РСК_хранение">[4]Лист1!$D$58</definedName>
    <definedName name="РСК_член">#REF!</definedName>
    <definedName name="РСКпр">[4]Лист1!$AO$108</definedName>
    <definedName name="рубильники">#REF!</definedName>
    <definedName name="рх">[0]!рх</definedName>
    <definedName name="РЦ">[4]Лист1!$S$64</definedName>
    <definedName name="рш">[0]!рш</definedName>
    <definedName name="ршъ">[0]!ршъ</definedName>
    <definedName name="рыапыа">[0]!рыапыа</definedName>
    <definedName name="рыарыары">[0]!рыарыары</definedName>
    <definedName name="рыарыва">[0]!рыарыва</definedName>
    <definedName name="рывр">[0]!рывр</definedName>
    <definedName name="рыври">[0]!рыври</definedName>
    <definedName name="рыночная">[0]!рыночная</definedName>
    <definedName name="Рыночный">#REF!</definedName>
    <definedName name="рырава">[0]!рырава</definedName>
    <definedName name="рьврв">[0]!рьврв</definedName>
    <definedName name="рьрь" hidden="1">{"'Prices'!$A$4:$J$27"}</definedName>
    <definedName name="с" hidden="1">{"'РП (2)'!$A$5:$S$150"}</definedName>
    <definedName name="с_3кл">[4]Лист1!$L$21</definedName>
    <definedName name="с_гов">[4]Лист1!$M$11</definedName>
    <definedName name="С_дата">#REF!</definedName>
    <definedName name="С_материал_Сумм">#REF!</definedName>
    <definedName name="с_мр">[4]Лист1!$L$23</definedName>
    <definedName name="с_под">[4]Лист1!$L$26</definedName>
    <definedName name="С_полная">#REF!</definedName>
    <definedName name="С_производ">#REF!</definedName>
    <definedName name="с_пф">[4]Лист1!$L$19</definedName>
    <definedName name="с_яч">[4]Лист1!$L$20</definedName>
    <definedName name="с1">[4]Лист1!$V$232</definedName>
    <definedName name="с17">[117]затр_подх!$A$16</definedName>
    <definedName name="с2">[4]Лист1!$U$243</definedName>
    <definedName name="са" hidden="1">{#N/A,#N/A,TRUE,"Буржуям"}</definedName>
    <definedName name="Садко" hidden="1">{"'интерфейс'!$J$31:$M$43"}</definedName>
    <definedName name="Санофи">[4]Лист1!$E$17</definedName>
    <definedName name="сантехника">#REF!</definedName>
    <definedName name="САНТЕХНИЧЕСКИЕ">#REF!</definedName>
    <definedName name="сах">[4]Лист1!$T$230</definedName>
    <definedName name="сахар">[4]Лист1!$C$68</definedName>
    <definedName name="сахар_внутр_перемещ">[4]Лист1!$V$56:$V$165</definedName>
    <definedName name="сахар_внутр_перемещ_4_5">[4]Лист1!$V$103:$V$165</definedName>
    <definedName name="сахар_выбытие">[4]Лист1!$T$56:$T$165</definedName>
    <definedName name="сахар_выбытие_4_5">[4]Лист1!$T$103:$T$165</definedName>
    <definedName name="сахар_корр">[4]Лист1!$X$56:$X$165</definedName>
    <definedName name="сахар_корр_1_3">[4]Лист1!$X$56:$X$102</definedName>
    <definedName name="сахар_корр_4_5">[4]Лист1!$X$103:$X$165</definedName>
    <definedName name="сахар_поступл">[4]Лист1!$R$56:$R$165</definedName>
    <definedName name="сахар_поступл_4_5">[4]Лист1!$R$103:$R$165</definedName>
    <definedName name="Сахар_сыр_путь">[4]Лист1!$G$75</definedName>
    <definedName name="саша" hidden="1">'[118]пр-во'!$X$11</definedName>
    <definedName name="Свб">[4]Лист1!$N$89</definedName>
    <definedName name="Свекла">[4]Отгрузка!$E$49</definedName>
    <definedName name="Свекла_дол">[4]Лист1!$F$13</definedName>
    <definedName name="Свекла_НАСИС">[4]Лист1!$F$23</definedName>
    <definedName name="свекла04">[4]Лист1!$F$60</definedName>
    <definedName name="светильники">#REF!</definedName>
    <definedName name="своб.ст.">#REF!</definedName>
    <definedName name="свобод.встр.">#REF!</definedName>
    <definedName name="свобод.жил.">[56]бог!#REF!</definedName>
    <definedName name="свобод.пл.">'[56]каскад,5'!#REF!</definedName>
    <definedName name="свобод.площ.">[56]бог!#REF!</definedName>
    <definedName name="сводн.площ.">#REF!</definedName>
    <definedName name="Сводный_график_по_Мосмева">'[89]Оплата по графикам'!$L$6</definedName>
    <definedName name="свсахар">[4]Лист1!$M$89</definedName>
    <definedName name="свсв" hidden="1">{#N/A,#N/A,FALSE,"Virgin Flightdeck"}</definedName>
    <definedName name="СвТ">[4]Лист1!$F$89</definedName>
    <definedName name="связи" hidden="1">{#N/A,#N/A,TRUE,"Буржуям"}</definedName>
    <definedName name="сгб" hidden="1">{"NWN_Q1810",#N/A,FALSE,"Q1810_1.V";"NWN_Q1412",#N/A,FALSE,"Q1412_1"}</definedName>
    <definedName name="Себестоимость">#REF!</definedName>
    <definedName name="Себестоимость_Всего">#REF!</definedName>
    <definedName name="сейм">'[4]Хран сах '!#REF!</definedName>
    <definedName name="Сейм_02">[4]Лист1!#REF!</definedName>
    <definedName name="Сейм_03">[4]Лист1!#REF!</definedName>
    <definedName name="Сейм_зона_02">[4]Лист1!#REF!</definedName>
    <definedName name="Сеймагр_03">[4]Лист1!#REF!</definedName>
    <definedName name="Сеймагро_02">[4]Лист1!#REF!</definedName>
    <definedName name="сем">[4]Лист1!$J$68</definedName>
    <definedName name="семена">[4]Лист1!#REF!</definedName>
    <definedName name="семена_дол">[4]Лист1!#REF!</definedName>
    <definedName name="семена_дол_факт">[4]Лист1!#REF!</definedName>
    <definedName name="семена_руб">[4]Лист1!#REF!</definedName>
    <definedName name="семена_руб_факт">[4]Лист1!#REF!</definedName>
    <definedName name="семена_факт">[4]Лист1!#REF!</definedName>
    <definedName name="сент03гр">#REF!</definedName>
    <definedName name="сент03руб.">#REF!</definedName>
    <definedName name="сент03у.е.">#REF!</definedName>
    <definedName name="сент04гр">#REF!</definedName>
    <definedName name="сент04у.е.">#REF!</definedName>
    <definedName name="сентябрь" hidden="1">{#N/A,#N/A,TRUE,"Буржуям"}</definedName>
    <definedName name="сер.1оч.руб.">'[31]Гр+'!#REF!</definedName>
    <definedName name="сер.1оч.у.е.">'[31]Гр+'!#REF!</definedName>
    <definedName name="сер.2оч.руб.">'[31]Гр+'!#REF!</definedName>
    <definedName name="сер.2оч.у.е.">'[31]Гр+'!#REF!</definedName>
    <definedName name="сер31.руб.">'[31]Гр+'!#REF!</definedName>
    <definedName name="сер31.у.е.">'[31]Гр+'!#REF!</definedName>
    <definedName name="Серная_кислота">#REF!</definedName>
    <definedName name="Сероводород_на_соб._нужды__">#REF!</definedName>
    <definedName name="си">[98]Описание!$C$3:$AW$32</definedName>
    <definedName name="сигнализация">#REF!</definedName>
    <definedName name="ск4">'[92]общие данные'!$F$3</definedName>
    <definedName name="ск62">'[92]общие данные'!$G$3</definedName>
    <definedName name="ск79">'[92]общие данные'!$H$3</definedName>
    <definedName name="ск80б">'[92]общие данные'!$K$3</definedName>
    <definedName name="ск80к">'[92]общие данные'!$I$3</definedName>
    <definedName name="скид">#REF!</definedName>
    <definedName name="скидка">[31]ВводД!$M$1</definedName>
    <definedName name="скпл">'[92]общие данные'!$L$3</definedName>
    <definedName name="скуцс">'[4]за месяц'!#REF!</definedName>
    <definedName name="слон" hidden="1">{#N/A,#N/A,TRUE,"Буржуям"}</definedName>
    <definedName name="см1_СТЕНЫ">'[119]СМ.ВЫШЕ НОЛЯ'!#REF!</definedName>
    <definedName name="см3_КРОВЛЯ">'[119]СМ.ВЫШЕ НОЛЯ'!#REF!</definedName>
    <definedName name="смежные">#REF!</definedName>
    <definedName name="смета" hidden="1">#REF!,#REF!,#REF!,#REF!,#REF!,#REF!,#REF!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мета_скр">#REF!</definedName>
    <definedName name="Смета_скр1">#REF!</definedName>
    <definedName name="смета1">'[119]СМ.ВЫШЕ НОЛЯ'!#REF!</definedName>
    <definedName name="смета2">#REF!</definedName>
    <definedName name="смета3">#REF!</definedName>
    <definedName name="смета3_КРЫША">'[119]СМ.ВЫШЕ НОЛЯ'!#REF!</definedName>
    <definedName name="смета4">#REF!</definedName>
    <definedName name="смета5">#REF!</definedName>
    <definedName name="сму">#REF!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бстНефть">93*3</definedName>
    <definedName name="Совокуп_Износ">#REF!</definedName>
    <definedName name="Сог">#REF!</definedName>
    <definedName name="сог1">#REF!</definedName>
    <definedName name="согласование">#REF!</definedName>
    <definedName name="содерж" hidden="1">{#N/A,#N/A,TRUE,"Буржуям"}</definedName>
    <definedName name="Соки">'[4]Фин. вложения'!$L$36</definedName>
    <definedName name="СокращОПФ">[120]Словари!$A$5:$A$121</definedName>
    <definedName name="солнце">'[4]Фин. вложения'!$R$58</definedName>
    <definedName name="сон" hidden="1">{#N/A,#N/A,TRUE,"Буржуям"}</definedName>
    <definedName name="Соня" hidden="1">{#N/A,#N/A,TRUE,"Буржуям"}</definedName>
    <definedName name="Соотн_собст_заемн_всего">#REF!</definedName>
    <definedName name="Сопровождение">[4]Лист1!#REF!</definedName>
    <definedName name="сор">#REF!</definedName>
    <definedName name="состояниедома">#REF!</definedName>
    <definedName name="сотр_уфа">#REF!</definedName>
    <definedName name="соц.сфера" hidden="1">{#N/A,#N/A,TRUE,"Буржуям"}</definedName>
    <definedName name="соцбыт">#REF!</definedName>
    <definedName name="Соцвыплаты">[121]Лист1!$C$14</definedName>
    <definedName name="соцсфера" hidden="1">{#N/A,#N/A,TRUE,"Буржуям"}</definedName>
    <definedName name="сп" hidden="1">{#N/A,#N/A,FALSE,"Aging Summary";#N/A,#N/A,FALSE,"Ratio Analysis";#N/A,#N/A,FALSE,"Test 120 Day Accts";#N/A,#N/A,FALSE,"Tickmarks"}</definedName>
    <definedName name="спис_с_хр">[4]Лист1!$V$230</definedName>
    <definedName name="СписокТЭП">INDEX('[122] ТЭП '!$A:$A,2):INDEX('[122] ТЭП '!$A:$A,COUNTA('[122] ТЭП '!$A:$A)+1)</definedName>
    <definedName name="спонсор" hidden="1">{#N/A,#N/A,TRUE,"Буржуям"}</definedName>
    <definedName name="ср1">#REF!</definedName>
    <definedName name="ср2">#REF!</definedName>
    <definedName name="ср3">#REF!</definedName>
    <definedName name="Ср4">[41]Параметры!$B$24</definedName>
    <definedName name="Сравн" hidden="1">{"assets",#N/A,FALSE,"historicBS";"liab",#N/A,FALSE,"historicBS";"is",#N/A,FALSE,"historicIS";"ratios",#N/A,FALSE,"ratios"}</definedName>
    <definedName name="СрД">'[62]исходные данные'!$D$6</definedName>
    <definedName name="Срок">#REF!</definedName>
    <definedName name="СрЧ1">[4]Лист1!#REF!</definedName>
    <definedName name="Срывнит" hidden="1">#REF!</definedName>
    <definedName name="сс">#REF!</definedName>
    <definedName name="сс_жг_Т">[4]Лист1!$AT$7</definedName>
    <definedName name="сс_мел_Т">[4]Лист1!$AT$6</definedName>
    <definedName name="сс_сах_Т">[4]Лист1!$AT$3</definedName>
    <definedName name="ссссссс">#REF!</definedName>
    <definedName name="ст">'[123]ставка капитализации'!$B$7</definedName>
    <definedName name="ст1">#REF!</definedName>
    <definedName name="ст2">#REF!</definedName>
    <definedName name="ст3">#REF!</definedName>
    <definedName name="Ставка">#REF!</definedName>
    <definedName name="Ставка_аренды_земли">#REF!</definedName>
    <definedName name="Ставка_НДС">#REF!</definedName>
    <definedName name="СтавкаНДС_20">#REF!</definedName>
    <definedName name="Ставр_подс">[4]Лист1!$K$147</definedName>
    <definedName name="Ставр_подс_неопл">[4]Лист1!$L$147</definedName>
    <definedName name="Ставр_подс_своб">[4]Лист1!$I$147</definedName>
    <definedName name="Ставр_просо">[4]Лист1!$K$150</definedName>
    <definedName name="Ставр_просо_неопл">[4]Лист1!$L$150</definedName>
    <definedName name="Ставр_просо_своб">[4]Лист1!$I$150</definedName>
    <definedName name="Ставр_пш_3">[4]Лист1!$K$24</definedName>
    <definedName name="Ставр_пш_3_неопл">[4]Лист1!$L$24</definedName>
    <definedName name="Ставр_пш_3_своб">[4]Лист1!$I$24</definedName>
    <definedName name="Ставр_пш_4">[4]Лист1!$K$46</definedName>
    <definedName name="Ставр_пш_4_неопл">[4]Лист1!$L$46</definedName>
    <definedName name="Ставр_пш_4_своб">[4]Лист1!$I$46</definedName>
    <definedName name="Ставр_пш_5">[4]Лист1!$K$84</definedName>
    <definedName name="Ставр_пш_5_своб">[4]Лист1!$I$84</definedName>
    <definedName name="Ставр_пш_ф_неопл">[4]Лист1!$L$84</definedName>
    <definedName name="Ставр_ячм_неопл">[4]Лист1!$L$124</definedName>
    <definedName name="Ставр_ячм_своб">[4]Лист1!$I$124</definedName>
    <definedName name="Ставрополь_подсолнечник">[4]Лист1!$K$147</definedName>
    <definedName name="Ставрополь_ячм_своб">[4]Лист1!$I$124</definedName>
    <definedName name="Ставрополь_ячмень">[4]Лист1!$K$124</definedName>
    <definedName name="стар_инф_за_месяц">[4]Лист1!#REF!</definedName>
    <definedName name="стар_инф_ЗЕРНО">[4]Лист1!#REF!</definedName>
    <definedName name="стар_инф_общая">[4]Лист1!$AM$3:$AT$218</definedName>
    <definedName name="стар_инф_ОСТАЛ">[4]Лист1!#REF!</definedName>
    <definedName name="стар_инф_РПК">[4]Лист1!#REF!</definedName>
    <definedName name="стар_инф_САХАР">[4]Лист1!#REF!</definedName>
    <definedName name="стар_инф_УФА">[4]Лист1!#REF!</definedName>
    <definedName name="СтатусЖЦ">[108]Словари!$C$5:$C$13</definedName>
    <definedName name="статьи_Балитэкс">OFFSET([49]справочники!$A$100,0,0, COUNTA([49]справочники!$A$100:$A$120),1)</definedName>
    <definedName name="статьи_ГПБИ_GPBI">OFFSET([49]справочники!$A$83,0,0, COUNTA([49]справочники!$A$83:$A$98),1)</definedName>
    <definedName name="статьи_Лиона">OFFSET([49]справочники!$A$73,0,0, COUNTA([49]справочники!$A$73:$A$81),1)</definedName>
    <definedName name="статьи_расходов">OFFSET([49]справочники!$A$3,0,0, COUNTA([49]справочники!$A$3:$A$39),1)</definedName>
    <definedName name="Статьи_Харкона">OFFSET([49]справочники!$A$40,0,0, COUNTA([49]справочники!$A$40:$A$72),1)</definedName>
    <definedName name="статья">#REF!</definedName>
    <definedName name="СтДеп">[41]Параметры!$B$33</definedName>
    <definedName name="СтДепПетр">[91]Параметры!$B$22</definedName>
    <definedName name="СтДиск">[41]Параметры!$B$36</definedName>
    <definedName name="стены">#REF!</definedName>
    <definedName name="СТЕНЫ_ПЕРЕГОРОД">#REF!</definedName>
    <definedName name="степнова" hidden="1">{#VALUE!,#N/A,TRUE,0}</definedName>
    <definedName name="СтКр">[41]Параметры!$B$34</definedName>
    <definedName name="СтКред">[86]Параметры!$B$21</definedName>
    <definedName name="СтНПр1">[4]Лист1!#REF!</definedName>
    <definedName name="стобы">#REF!</definedName>
    <definedName name="стоим.ст.у.е.">#REF!</definedName>
    <definedName name="Стоим_замещ_здан_1969">#REF!</definedName>
    <definedName name="Стоим_замещ_здан_датуОценки">#REF!</definedName>
    <definedName name="Стоим_замещ_ЗданияНаДатуОц">#REF!</definedName>
    <definedName name="СтоимЗамещЗданБезИзноса">#REF!</definedName>
    <definedName name="Стоимость_1кубм">#REF!</definedName>
    <definedName name="Стоимость_здания">#REF!</definedName>
    <definedName name="Стоимость_земли">#REF!</definedName>
    <definedName name="Сторонние">'[112]Пр. №3 Справочник "Контрагенты"'!$H$5:$H$30</definedName>
    <definedName name="СтПродаж">[41]Параметры!$B$35</definedName>
    <definedName name="Стр" hidden="1">{#N/A,#N/A,TRUE,"Буржуям"}</definedName>
    <definedName name="СтРеф">[103]Параметры!#REF!</definedName>
    <definedName name="Строений_под_снос">#REF!</definedName>
    <definedName name="СТРОИТЕЛЬНЫЕ">#REF!</definedName>
    <definedName name="строительство">#REF!</definedName>
    <definedName name="Строка">#REF!</definedName>
    <definedName name="Структэнерг" hidden="1">{#N/A,#N/A,TRUE,"Буржуям"}</definedName>
    <definedName name="Струкэнерг" hidden="1">{#N/A,#N/A,TRUE,"Буржуям"}</definedName>
    <definedName name="Стрэнерг" hidden="1">{#N/A,#N/A,TRUE,"Буржуям"}</definedName>
    <definedName name="сттьвосстановл">#REF!</definedName>
    <definedName name="сттьсоглас">#REF!</definedName>
    <definedName name="сттьсогласования">#REF!</definedName>
    <definedName name="су">#REF!</definedName>
    <definedName name="субаренда04">[4]Лист1!$F$67</definedName>
    <definedName name="сум.закл.кв.у.е.">[56]бог!#REF!</definedName>
    <definedName name="сумм.встр.безмфтц">#REF!</definedName>
    <definedName name="сумм.встр.мфтц">#REF!</definedName>
    <definedName name="сумм.втср.безмфтц">#REF!</definedName>
    <definedName name="сумм.зак.встр.у.е.">#REF!</definedName>
    <definedName name="сумм.закл.встр.у.е.">#REF!</definedName>
    <definedName name="сумм.закл.кв.у.е.">#REF!</definedName>
    <definedName name="сумм.закл.ст.у.е.">#REF!</definedName>
    <definedName name="сумм.кв.безмфтц">#REF!</definedName>
    <definedName name="сумм.кв.мфтц">#REF!</definedName>
    <definedName name="сумм.комм.встр.">#REF!</definedName>
    <definedName name="сумм.комм.кв.">[56]бог!#REF!</definedName>
    <definedName name="Сумма">#REF!</definedName>
    <definedName name="сумма1">[44]Кредит!$A$6</definedName>
    <definedName name="суммвстр.мфтц">#REF!</definedName>
    <definedName name="сф3">#REF!</definedName>
    <definedName name="сфера" hidden="1">{#N/A,#N/A,TRUE,"Буржуям"}</definedName>
    <definedName name="СФР">[124]Лист1!$A$1:$A$6</definedName>
    <definedName name="счет" hidden="1">{#N/A,#N/A,TRUE,"Буржуям"}</definedName>
    <definedName name="счетчики">#REF!</definedName>
    <definedName name="сыр_сс">'[4]2 деньги в пути'!$H$55</definedName>
    <definedName name="сыр_сс_путь">[4]Отгрузка!$K$62</definedName>
    <definedName name="Сырец_3_завода">[4]Лист1!$H$89</definedName>
    <definedName name="Сырец_ч">[4]Лист1!$K$89</definedName>
    <definedName name="Сэ">[4]Лист1!#REF!</definedName>
    <definedName name="ся1">#REF!</definedName>
    <definedName name="ся2">#REF!</definedName>
    <definedName name="ся3">#REF!</definedName>
    <definedName name="т">#REF!</definedName>
    <definedName name="т.м.">[4]СКР!$J$2</definedName>
    <definedName name="Т_02">[4]Лист1!#REF!</definedName>
    <definedName name="т_в_п_сс">[4]Лист1!$I$71</definedName>
    <definedName name="Т_зона_02">[4]Лист1!#REF!</definedName>
    <definedName name="т1">#REF!</definedName>
    <definedName name="т2">#REF!</definedName>
    <definedName name="т3">#REF!</definedName>
    <definedName name="т3.руб.">'[31]Гр+'!#REF!</definedName>
    <definedName name="т3.у.е.">'[31]Гр+'!#REF!</definedName>
    <definedName name="т3с.руб.">'[31]Гр+'!#REF!</definedName>
    <definedName name="т3с.у.е.">'[31]Гр+'!#REF!</definedName>
    <definedName name="табл" hidden="1">{#N/A,#N/A,FALSE,"Aging Summary";#N/A,#N/A,FALSE,"Ratio Analysis";#N/A,#N/A,FALSE,"Test 120 Day Accts";#N/A,#N/A,FALSE,"Tickmarks"}</definedName>
    <definedName name="Табл_курсы_валют">#REF!</definedName>
    <definedName name="Тайм" hidden="1">{"PRINTME",#N/A,FALSE,"FINAL-10"}</definedName>
    <definedName name="талосто">'[125]Метод остатка'!#REF!</definedName>
    <definedName name="Тамбов_пш_4">[4]Лист1!$K$42</definedName>
    <definedName name="тамбов_пш_4_неопл">[4]Лист1!$L$42</definedName>
    <definedName name="Тамбов_пш_4_своб">[4]Лист1!$I$42</definedName>
    <definedName name="Тамбов_пш_5">[4]Лист1!$K$77</definedName>
    <definedName name="Тамбов_пш_5_своб">[4]Лист1!$I$77</definedName>
    <definedName name="Тамбов_пш_ф_неопл">[4]Лист1!$L$77</definedName>
    <definedName name="Тамбов_ячм_неопл">[4]Лист1!$L$104</definedName>
    <definedName name="Тамбов_ячм_своб">[4]Лист1!$I$104</definedName>
    <definedName name="Тамбов_ячмень">[4]Лист1!$K$104</definedName>
    <definedName name="танка">'[61]рын счит'!$B$3:$B$3</definedName>
    <definedName name="таня">[126]Трансформаторн!$F$8</definedName>
    <definedName name="татьяна" hidden="1">{#N/A,#N/A,TRUE,"Буржуям"}</definedName>
    <definedName name="ТБ">[4]Лист1!#REF!</definedName>
    <definedName name="тд">[4]Лист1!$AI$1</definedName>
    <definedName name="тд_1">#REF!</definedName>
    <definedName name="ТекДата_90">[4]Лист1!$S$3</definedName>
    <definedName name="Текущий">#REF!</definedName>
    <definedName name="телефон">#REF!</definedName>
    <definedName name="ТемпРостаЦены">[103]Параметры!$B$22</definedName>
    <definedName name="ТЕПЛОИЗОЛЯЦИЯ">'[34]см. ЦЕНЫ '!$B$207</definedName>
    <definedName name="теплоизоляциястен">#REF!</definedName>
    <definedName name="термостат_головка">[127]сантех...!#REF!</definedName>
    <definedName name="термостатич_головка">[127]сантех...!#REF!</definedName>
    <definedName name="Тип">#REF!</definedName>
    <definedName name="Тип_бюджета">#REF!</definedName>
    <definedName name="тип1">[44]Кредит!$E$6</definedName>
    <definedName name="типзастройки">#REF!</definedName>
    <definedName name="Типогр" hidden="1">{"NWN_Q1810",#N/A,FALSE,"Q1810_1.V";"NWN_Q1412",#N/A,FALSE,"Q1412_1"}</definedName>
    <definedName name="Тих_03">[4]Лист1!#REF!</definedName>
    <definedName name="Тихорецк_аванс">[4]Поступления!#REF!</definedName>
    <definedName name="тн">#REF!</definedName>
    <definedName name="ТНПОЗЕР">[4]Лист1!$F$59</definedName>
    <definedName name="ТНФЙЗЕН">[4]Лист1!$G$59</definedName>
    <definedName name="тня" hidden="1">{#N/A,#N/A,TRUE,"Буржуям"}</definedName>
    <definedName name="Тов_кред">[4]Лист1!$F$90</definedName>
    <definedName name="тов_рег_д">#REF!</definedName>
    <definedName name="тов_сс">[4]Лист1!$U$90</definedName>
    <definedName name="товар" hidden="1">{#N/A,#N/A,TRUE,"Буржуям"}</definedName>
    <definedName name="товары" hidden="1">{#N/A,#N/A,TRUE,"Буржуям"}</definedName>
    <definedName name="ТовОб1">[4]Лист1!#REF!</definedName>
    <definedName name="ТовРеал1">[4]Лист1!#REF!</definedName>
    <definedName name="Тол_итого">[4]Лист1!$F$4</definedName>
    <definedName name="Топливо_на_соб.нужды__">#REF!</definedName>
    <definedName name="Торг" hidden="1">{#N/A,#N/A,FALSE,"Aging Summary";#N/A,#N/A,FALSE,"Ratio Analysis";#N/A,#N/A,FALSE,"Test 120 Day Accts";#N/A,#N/A,FALSE,"Tickmarks"}</definedName>
    <definedName name="тош">[128]мса_СКЛАД!$H$30</definedName>
    <definedName name="тп">[4]Поступления!#REF!</definedName>
    <definedName name="ТП1" hidden="1">{#VALUE!,#N/A,TRUE,0}</definedName>
    <definedName name="ТПП" hidden="1">{#N/A,#N/A,TRUE,"Буржуям"}</definedName>
    <definedName name="ТПЭ">#REF!</definedName>
    <definedName name="трансойл">[129]Содержание!$J$15</definedName>
    <definedName name="транспорт">#REF!</definedName>
    <definedName name="тротуары">#REF!</definedName>
    <definedName name="трр" hidden="1">{"'Prices'!$A$4:$J$27"}</definedName>
    <definedName name="ТРУБА_МЕТАЛ">'[36]матер.(октябрь)'!#REF!</definedName>
    <definedName name="трубы">#REF!</definedName>
    <definedName name="ТРЦ_ShoppingСenter">[76]Inputs_Assumptions!$B$26</definedName>
    <definedName name="тт">#REF!</definedName>
    <definedName name="ттт">[130]предприятия!$C$2:$C$3228</definedName>
    <definedName name="тттт">#REF!</definedName>
    <definedName name="Тула_пш_5">[4]Лист1!$K$73</definedName>
    <definedName name="Тула_пш_5_своб">[4]Лист1!$I$73</definedName>
    <definedName name="Тула_пш_ф_неопл">[4]Лист1!$L$73</definedName>
    <definedName name="Тула_ячм_неопл">[4]Лист1!$L$121</definedName>
    <definedName name="Тула_ячм_своб">[4]Лист1!$I$121</definedName>
    <definedName name="Тула_ячмень">[4]Лист1!$K$121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ЭП">[35]П!#REF!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ятя">[131]НФИк!$A$17</definedName>
    <definedName name="у" hidden="1">[0]!у</definedName>
    <definedName name="уайца">#REF!</definedName>
    <definedName name="УБ_агро">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 hidden="1">{#N/A,#N/A,TRUE,"Буржуям"}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">#REF!</definedName>
    <definedName name="удаленность">#REF!</definedName>
    <definedName name="удобства">#REF!</definedName>
    <definedName name="удор">#REF!</definedName>
    <definedName name="УЕ">[72]НФИк!$A$17</definedName>
    <definedName name="УЕКУГИ2">[132]Начало!A1</definedName>
    <definedName name="уеуке4е" hidden="1">[133]GLC_ratios_Jun!$D$15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 hidden="1">{#N/A,#N/A,FALSE,"Aging Summary";#N/A,#N/A,FALSE,"Ratio Analysis";#N/A,#N/A,FALSE,"Test 120 Day Accts";#N/A,#N/A,FALSE,"Tickmarks"}</definedName>
    <definedName name="уК_НГДО">#REF!</definedName>
    <definedName name="уК_НПЗ">#REF!</definedName>
    <definedName name="уК_НПО">#REF!</definedName>
    <definedName name="уК1_К">#REF!</definedName>
    <definedName name="укнун4561">#REF!</definedName>
    <definedName name="укпукп" hidden="1">{"'Prices'!$A$4:$J$27"}</definedName>
    <definedName name="укрр" hidden="1">{"'Prices'!$A$4:$J$27"}</definedName>
    <definedName name="УКУКУК" hidden="1">{#N/A,#N/A,TRUE,"Буржуям"}</definedName>
    <definedName name="укыер" hidden="1">{"'Sheet1'!$A$1:$G$85"}</definedName>
    <definedName name="УПАИРУЕНР">#REF!</definedName>
    <definedName name="упаковка">[55]нормы!$E$234:$E$236</definedName>
    <definedName name="уплач_проц_кред">[4]MACRO!#REF!</definedName>
    <definedName name="Упр">[4]Лист1!$AO$134</definedName>
    <definedName name="Упррасх_всего">#REF!</definedName>
    <definedName name="Усл.своб" hidden="1">{"assets",#N/A,FALSE,"historicBS";"liab",#N/A,FALSE,"historicBS";"is",#N/A,FALSE,"historicIS";"ratios",#N/A,FALSE,"ratios"}</definedName>
    <definedName name="условия">#REF!</definedName>
    <definedName name="услуги" hidden="1">{#N/A,#N/A,TRUE,"Буржуям"}</definedName>
    <definedName name="УСОК">[134]Ниточки!$B$5</definedName>
    <definedName name="Устав" hidden="1">{#N/A,#N/A,TRUE,"Буржуям"}</definedName>
    <definedName name="уточн.ож" hidden="1">{#N/A,#N/A,TRUE,"Буржуям"}</definedName>
    <definedName name="уу" hidden="1">{#N/A,#N/A,TRUE,"Буржуям"}</definedName>
    <definedName name="уууу" hidden="1">{"'интерфейс'!$J$31:$M$43"}</definedName>
    <definedName name="ууууу" hidden="1">{"'интерфейс'!$J$31:$M$43"}</definedName>
    <definedName name="уф_тек">#REF!</definedName>
    <definedName name="уфа_изм_сс">[4]Лист1!$AV$206:$AV$218</definedName>
    <definedName name="уцацуа">#REF!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_ма">#REF!</definedName>
    <definedName name="Ф_янв">#REF!</definedName>
    <definedName name="Ф1">[4]Лист1!$F$20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'[135]3.3.31.'!$A$17:$E$106</definedName>
    <definedName name="ф1.405.2">#REF!</definedName>
    <definedName name="ф1.407.1">#REF!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.руб.">'[31]Гр+'!#REF!</definedName>
    <definedName name="ф1.у.е.">'[31]Гр+'!#REF!</definedName>
    <definedName name="ф110">#REF!</definedName>
    <definedName name="ф120">#REF!</definedName>
    <definedName name="ф1с.руб.">'[31]Гр+'!#REF!</definedName>
    <definedName name="ф1с.у.е.">'[31]Гр+'!#REF!</definedName>
    <definedName name="Ф2">[4]Лист1!$F$33</definedName>
    <definedName name="ф2.руб.">'[31]Гр+'!#REF!</definedName>
    <definedName name="ф2.у.е.">'[31]Гр+'!#REF!</definedName>
    <definedName name="ф2с.руб.">'[31]Гр+'!#REF!</definedName>
    <definedName name="ф2с.у.е.">'[31]Гр+'!#REF!</definedName>
    <definedName name="ф3">#REF!</definedName>
    <definedName name="ф3.427">#REF!</definedName>
    <definedName name="ф3.428">#REF!</definedName>
    <definedName name="ф3.433">#REF!</definedName>
    <definedName name="ф310">#REF!</definedName>
    <definedName name="ф369">#REF!</definedName>
    <definedName name="ф3А.руб.">'[31]Гр+'!#REF!</definedName>
    <definedName name="ф3А.у.е.">'[31]Гр+'!#REF!</definedName>
    <definedName name="ф3Ас.руб.">'[31]Гр+'!#REF!</definedName>
    <definedName name="ф3Ас.у.е.">'[31]Гр+'!#REF!</definedName>
    <definedName name="ф4.руб.">'[31]Гр+'!#REF!</definedName>
    <definedName name="ф4.у.е.">'[31]Гр+'!#REF!</definedName>
    <definedName name="ф4с.руб.">'[24]Сводная ЛССМУ'!#REF!</definedName>
    <definedName name="ф4с.у.е.">'[24]Сводная ЛССМУ'!#REF!</definedName>
    <definedName name="ф5.руб.">'[24]Сводная ЛССМУ'!#REF!</definedName>
    <definedName name="ф5.у.е.">'[24]Сводная ЛССМУ'!#REF!</definedName>
    <definedName name="ф5с.руб.">'[24]Сводная ЛССМУ'!#REF!</definedName>
    <definedName name="ф5с.у.е.">'[24]Сводная ЛССМУ'!#REF!</definedName>
    <definedName name="фL220">#REF!</definedName>
    <definedName name="фL222">#REF!</definedName>
    <definedName name="фL231">#REF!</definedName>
    <definedName name="фL232">#REF!</definedName>
    <definedName name="фL234">#REF!</definedName>
    <definedName name="фL235">#REF!</definedName>
    <definedName name="фL237">#REF!</definedName>
    <definedName name="фL238">#REF!</definedName>
    <definedName name="фL240">#REF!</definedName>
    <definedName name="фL241">#REF!</definedName>
    <definedName name="фL246">#REF!</definedName>
    <definedName name="фа">[98]Описание!$C$3:$AW$32</definedName>
    <definedName name="ФакторЗатухания">'[87]Прогноз СС'!#REF!</definedName>
    <definedName name="Факторы" hidden="1">{#N/A,#N/A,FALSE,"Расчет вспомогательных"}</definedName>
    <definedName name="фасад">#REF!</definedName>
    <definedName name="ФВАПФВАПФВАП" hidden="1">{#VALUE!,#N/A,TRUE,0}</definedName>
    <definedName name="ФВАПФВАПФВАПФВАПФВАП" hidden="1">{#VALUE!,#N/A,TRUE,0}</definedName>
    <definedName name="фвп" hidden="1">{#N/A,#N/A,FALSE,"Aging Summary";#N/A,#N/A,FALSE,"Ratio Analysis";#N/A,#N/A,FALSE,"Test 120 Day Accts";#N/A,#N/A,FALSE,"Tickmarks"}</definedName>
    <definedName name="фев">[4]титул!#REF!</definedName>
    <definedName name="фев03га">#REF!</definedName>
    <definedName name="фев03руб.">#REF!</definedName>
    <definedName name="фев03у.е.">#REF!</definedName>
    <definedName name="фев04гр">#REF!</definedName>
    <definedName name="фев04руб.">#REF!</definedName>
    <definedName name="фев04у.е.">#REF!</definedName>
    <definedName name="февр" hidden="1">{#VALUE!,#N/A,TRUE,0}</definedName>
    <definedName name="ФЗП">#REF!</definedName>
    <definedName name="ФИ_макс">[136]Данные!$B$5</definedName>
    <definedName name="Физ_Износ">#REF!</definedName>
    <definedName name="Фин">[4]Поступления!$F$30</definedName>
    <definedName name="Фин_вл">[4]Лист1!$F$60</definedName>
    <definedName name="Фин_вл_дол">[4]Лист1!#REF!</definedName>
    <definedName name="финанс" hidden="1">{#N/A,#N/A,TRUE,"Буржуям"}</definedName>
    <definedName name="финансы" hidden="1">{#N/A,#N/A,TRUE,"Буржуям"}</definedName>
    <definedName name="финвл">[4]Лист1!$F$95</definedName>
    <definedName name="ФинОф">[41]Параметры!#REF!</definedName>
    <definedName name="ФЙУКАЕ" hidden="1">{#VALUE!,#N/A,TRUE,0}</definedName>
    <definedName name="фкнно" hidden="1">{"'Prices'!$A$4:$J$27"}</definedName>
    <definedName name="фок.руб.">'[31]Гр+'!#REF!</definedName>
    <definedName name="фок.у.е.">'[31]Гр+'!#REF!</definedName>
    <definedName name="Фомичева" hidden="1">{"glc1",#N/A,FALSE,"GLC";"glc2",#N/A,FALSE,"GLC";"glc3",#N/A,FALSE,"GLC";"glc4",#N/A,FALSE,"GLC";"glc5",#N/A,FALSE,"GLC"}</definedName>
    <definedName name="Форма_Рент">#REF!</definedName>
    <definedName name="Форма_СС">#REF!</definedName>
    <definedName name="Форма_Цена">#REF!</definedName>
    <definedName name="форма51">[35]!GetSANDValue</definedName>
    <definedName name="фотореле">#REF!</definedName>
    <definedName name="фп" hidden="1">{"'Prices'!$A$4:$J$27"}</definedName>
    <definedName name="фп." hidden="1">#REF!,#REF!,#REF!,#REF!,#REF!,#REF!,#REF!</definedName>
    <definedName name="фпи" hidden="1">{"'Sheet1'!$A$1:$G$85"}</definedName>
    <definedName name="фплан" hidden="1">{#VALUE!,#N/A,TRUE,0}</definedName>
    <definedName name="фундаменты">#REF!</definedName>
    <definedName name="Фунт">'[60]Плановые курсы валют'!$B$4</definedName>
    <definedName name="фф" hidden="1">{#N/A,#N/A,TRUE,"Буржуям"}</definedName>
    <definedName name="ффL399">#REF!</definedName>
    <definedName name="ффпфк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hidden="1">{#N/A,#N/A,TRUE,"Буржуям"}</definedName>
    <definedName name="фффффффф" hidden="1">{"'Sheet1'!$A$1:$G$85"}</definedName>
    <definedName name="ффыы" hidden="1">[23]MAIN!#REF!</definedName>
    <definedName name="фц" hidden="1">{"'РП (2)'!$A$5:$S$150"}</definedName>
    <definedName name="ФЫ҂АФЫВА" hidden="1">{#N/A,#N/A,TRUE,"Буржуям"}</definedName>
    <definedName name="фыав">#REF!</definedName>
    <definedName name="фыва">#REF!</definedName>
    <definedName name="фывафва" hidden="1">{#VALUE!,#N/A,TRUE,0}</definedName>
    <definedName name="ФЫВАФЫВА" hidden="1">{#N/A,#N/A,TRUE,"Буржуям"}</definedName>
    <definedName name="фыекфмит" hidden="1">#REF!</definedName>
    <definedName name="ФЭП">[35]П!#REF!</definedName>
    <definedName name="х">#REF!</definedName>
    <definedName name="х2">#REF!</definedName>
    <definedName name="хз">'[28]Метод остатка'!#REF!</definedName>
    <definedName name="Хорошая">#REF!</definedName>
    <definedName name="хранение">[4]СКР!$D$59</definedName>
    <definedName name="ххх" hidden="1">{"print95",#N/A,FALSE,"1995E.XLS";"print96",#N/A,FALSE,"1996E.XLS"}</definedName>
    <definedName name="ц" hidden="1">{"'Prices'!$A$4:$J$27"}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а" hidden="1">{#N/A,#N/A,FALSE,"Aging Summary";#N/A,#N/A,FALSE,"Ratio Analysis";#N/A,#N/A,FALSE,"Test 120 Day Accts";#N/A,#N/A,FALSE,"Tickmarks"}</definedName>
    <definedName name="ЦБ">[137]Начало!$J$7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ПШФ">[4]СКР!#REF!</definedName>
    <definedName name="Цена_с_НДС">#REF!</definedName>
    <definedName name="цена_св">[4]Лист1!$S$100</definedName>
    <definedName name="ЦенаОферты">#REF!</definedName>
    <definedName name="ценапш3К">[4]СКР!#REF!</definedName>
    <definedName name="ценаячф">[4]СКР!#REF!</definedName>
    <definedName name="центр" hidden="1">{#N/A,#N/A,TRUE,"Буржуям"}</definedName>
    <definedName name="цкпуйкркоегш">#REF!</definedName>
    <definedName name="ЦП_тек">[4]Лист1!$K$89</definedName>
    <definedName name="ЦПК" hidden="1">{#N/A,#N/A,TRUE,"Буржуям"}</definedName>
    <definedName name="ЦРПШ3">[4]СКР!$E$987</definedName>
    <definedName name="ЦРПШФ">[4]СКР!$E$983</definedName>
    <definedName name="ЦРЯЧФ">[4]СКР!$E$986</definedName>
    <definedName name="цу" hidden="1">{#N/A,#N/A,FALSE,"Virgin Flightdeck"}</definedName>
    <definedName name="цукеацуеп">#REF!</definedName>
    <definedName name="ЦУКЕЦУК" hidden="1">{#VALUE!,#N/A,TRUE,0}</definedName>
    <definedName name="ЦУКЕЦУКЕ" hidden="1">{#VALUE!,#N/A,TRUE,0}</definedName>
    <definedName name="ЦУКПФУКП" hidden="1">{#VALUE!,#N/A,TRUE,0}</definedName>
    <definedName name="ЦУКЦУК" hidden="1">{#N/A,#N/A,TRUE,"Буржуям"}</definedName>
    <definedName name="ЦУКЦУКЦЕУКЕУ" hidden="1">{#N/A,#N/A,TRUE,"Буржуям"}</definedName>
    <definedName name="ЦУН">'[56]каскад,5'!#REF!</definedName>
    <definedName name="цц" hidden="1">{#N/A,#N/A,TRUE,"Буржуям"}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#REF!</definedName>
    <definedName name="цццц" hidden="1">{#N/A,#N/A,FALSE,"Virgin Flightdeck"}</definedName>
    <definedName name="цццццццц" hidden="1">{"'Sheet1'!$A$1:$G$85"}</definedName>
    <definedName name="ч" hidden="1">{#N/A,#N/A,TRUE,"Буржуям"}</definedName>
    <definedName name="чапач" hidden="1">{"'Sheet1'!$A$12:$K$107"}</definedName>
    <definedName name="ЧДД">#REF!</definedName>
    <definedName name="чист1">[21]Титул!$D$12,[21]Титул!$E$15,[21]Титул!$C$20,[21]Титул!$L$12:$O$17</definedName>
    <definedName name="чист3">[21]Ф2!$M$22:$Q$30,[21]Ф2!$M$34:$Q$42,[21]Ф2!$M$46:$Q$48,[21]Ф2!$M$53:$Q$54,[21]Ф2!$M$59:$Q$59,[21]Ф2!$M$65:$Q$65,[21]Ф2!$M$68:$Q$72</definedName>
    <definedName name="чист4">[21]Ф4!$M$27:$Q$28,[21]Ф4!$K$29:$L$32,[21]Ф4!$M$30:$Q$34,[21]Ф4!$K$37:$L$40,[21]Ф4!$M$37:$Q$37,[21]Ф4!$M$40:$Q$40,[21]Ф4!$M$41,[21]Ф4!$M$42:$Q$45,[21]Ф4!$K$44:$L$45,[21]Ф4!$J$50:$J$52</definedName>
    <definedName name="чист5">[21]Ф5!$J$26:$Q$30,[21]Ф5!$J$33:$Q$42,[21]Ф5!$J$51:$Q$56,[21]Ф5!$J$66:$Q$67,[21]Ф5!$J$72:$Q$74,[21]Ф5!$J$76:$Q$79,[21]Ф5!$J$81:$Q$82,[21]Ф5!$J$89:$J$97,[21]Ф5!$N$89:$Q$97,[21]Ф5!$J$105:$J$110,[21]Ф5!$N$105:$Q$110,[21]Ф5!$J$118:$J$119,[21]Ф5!$J$132:$J$133,[21]Ф5!$J$140:$M$141,[21]Ф5!$J$143:$M$145,[21]Ф5!$J$148:$M$150,[21]Ф5!$J$157:$Q$160</definedName>
    <definedName name="чист6">[21]Ф6!$L$19,[21]Ф6!$J$21:$N$25,[21]Ф6!$J$29:$N$31,[21]Ф6!$J$34:$N$37</definedName>
    <definedName name="ЧММА">[4]Лист1!$S$2</definedName>
    <definedName name="ЧММА_СКР_схт">[4]Лист1!$U$2</definedName>
    <definedName name="ЧП1">[4]Лист1!#REF!</definedName>
    <definedName name="чпава" hidden="1">{"'Sheet1'!$A$1:$G$85"}</definedName>
    <definedName name="чс" hidden="1">{"PRINTME",#N/A,FALSE,"FINAL-10"}</definedName>
    <definedName name="ЧЧ" hidden="1">{"glcbs",#N/A,FALSE,"GLCBS";"glccsbs",#N/A,FALSE,"GLCCSBS";"glcis",#N/A,FALSE,"GLCIS";"glccsis",#N/A,FALSE,"GLCCSIS";"glcrat1",#N/A,FALSE,"GLC-ratios1"}</definedName>
    <definedName name="чя">#REF!</definedName>
    <definedName name="ш.оз.руб.">'[31]Гр+'!#REF!</definedName>
    <definedName name="ш.оз.у.е.">'[31]Гр+'!#REF!</definedName>
    <definedName name="шаб">'[138]Инвестиции(18)'!#REF!</definedName>
    <definedName name="шахты">'[28]Метод остатка'!#REF!</definedName>
    <definedName name="шгнек" hidden="1">{#N/A,#N/A,FALSE,"Aging Summary";#N/A,#N/A,FALSE,"Ratio Analysis";#N/A,#N/A,FALSE,"Test 120 Day Accts";#N/A,#N/A,FALSE,"Tickmarks"}</definedName>
    <definedName name="Шексн_КХП">[4]Лист1!#REF!</definedName>
    <definedName name="Шексн_КХП_Ц">[4]СКР!#REF!</definedName>
    <definedName name="Шексна_кредРЗ">[4]Лист1!$F$134</definedName>
    <definedName name="шз" hidden="1">{#N/A,#N/A,FALSE,"Aging Summary";#N/A,#N/A,FALSE,"Ratio Analysis";#N/A,#N/A,FALSE,"Test 120 Day Accts";#N/A,#N/A,FALSE,"Tickmarks"}</definedName>
    <definedName name="шловнгаовро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нгдо">[0]!шнгдо</definedName>
    <definedName name="шнгкщнгшкн">[0]!шнгкщнгшкн</definedName>
    <definedName name="шрот_соев">#REF!</definedName>
    <definedName name="шш">[45]рын!$B$1:$L$65536</definedName>
    <definedName name="шшшшш" hidden="1">{"glc1",#N/A,FALSE,"GLC";"glc2",#N/A,FALSE,"GLC";"glc3",#N/A,FALSE,"GLC";"glc4",#N/A,FALSE,"GLC";"glc5",#N/A,FALSE,"GLC"}</definedName>
    <definedName name="шщх" hidden="1">{#VALUE!,#N/A,TRUE,0}</definedName>
    <definedName name="щдшло" hidden="1">#REF!</definedName>
    <definedName name="ЩИТОК_ОСВЕТИТ">'[36]матер.(октябрь)'!#REF!</definedName>
    <definedName name="щордр">#REF!</definedName>
    <definedName name="щшнр">#REF!</definedName>
    <definedName name="щщ" hidden="1">{#N/A,#N/A,FALSE,"Virgin Flightdeck"}</definedName>
    <definedName name="ъщ" hidden="1">{#VALUE!,#N/A,TRUE,0}</definedName>
    <definedName name="ы" hidden="1">{#N/A,#N/A,FALSE,"Virgin Flightdeck"}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АПРФВАПЫВА" hidden="1">{#VALUE!,#N/A,TRUE,0}</definedName>
    <definedName name="ЫВАПЫВАПЫВА" hidden="1">{#N/A,#N/A,TRUE,"Буржуям"}</definedName>
    <definedName name="ыварвы">#REF!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вшакжпоритадмьып">#REF!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уврпшлек">[4]Отгрузка!#REF!</definedName>
    <definedName name="ЫУКЕЦУКЕ" hidden="1">{#VALUE!,#N/A,TRUE,0}</definedName>
    <definedName name="ыфаф" hidden="1">{#N/A,#N/A,TRUE,"Буржуям"}</definedName>
    <definedName name="ыфв">#REF!</definedName>
    <definedName name="ыфвфв" hidden="1">{"glcbs",#N/A,FALSE,"GLCBS";"glccsbs",#N/A,FALSE,"GLCCSBS";"glcis",#N/A,FALSE,"GLCIS";"glccsis",#N/A,FALSE,"GLCCSIS";"glcrat1",#N/A,FALSE,"GLC-ratios1"}</definedName>
    <definedName name="ыыы" hidden="1">{"'РП (2)'!$A$5:$S$150"}</definedName>
    <definedName name="ь" hidden="1">{#N/A,#N/A,TRUE,"Буржуям"}</definedName>
    <definedName name="ьдьб" hidden="1">{"assets",#N/A,FALSE,"historicBS";"liab",#N/A,FALSE,"historicBS";"is",#N/A,FALSE,"historicIS";"ratios",#N/A,FALSE,"ratios"}</definedName>
    <definedName name="ьрпср" hidden="1">{"'Sheet1'!$A$1:$G$85"}</definedName>
    <definedName name="ьь">[45]износ!$B$1:$I$65536</definedName>
    <definedName name="ььь" hidden="1">#REF!</definedName>
    <definedName name="ьььь" hidden="1">{#N/A,#N/A,TRUE,"Буржуям"}</definedName>
    <definedName name="ььььььььь" hidden="1">{"'Sheet1'!$A$1:$G$85"}</definedName>
    <definedName name="Э">[4]Поступления!#REF!</definedName>
    <definedName name="Э_02">'[4]Хран сах '!#REF!</definedName>
    <definedName name="э_23">[4]Лист1!$AO$55</definedName>
    <definedName name="э12ш" hidden="1">{"glc1",#N/A,FALSE,"GLC";"glc2",#N/A,FALSE,"GLC";"glc3",#N/A,FALSE,"GLC";"glc4",#N/A,FALSE,"GLC";"glc5",#N/A,FALSE,"GLC"}</definedName>
    <definedName name="экология">#REF!</definedName>
    <definedName name="элво">#REF!</definedName>
    <definedName name="электроинструмент">#REF!</definedName>
    <definedName name="Электроснабжение">[39]Исходник!$R$4:$R$6</definedName>
    <definedName name="ЭН">'[4]Хран сах '!#REF!</definedName>
    <definedName name="эн.2004" hidden="1">{#VALUE!,#N/A,TRUE,0}</definedName>
    <definedName name="эн.2004год" hidden="1">{#N/A,#N/A,TRUE,"Буржуям"}</definedName>
    <definedName name="энг1.руб.">'[31]Гр+'!#REF!</definedName>
    <definedName name="энергия" hidden="1">{#N/A,#N/A,TRUE,"Буржуям"}</definedName>
    <definedName name="эра" hidden="1">{#N/A,#N/A,TRUE,"Буржуям"}</definedName>
    <definedName name="Эркен_03">[4]Лист1!#REF!</definedName>
    <definedName name="Эсв_02">[4]Лист1!#REF!</definedName>
    <definedName name="эт_5_1">#REF!</definedName>
    <definedName name="эт_5_2">#REF!</definedName>
    <definedName name="эт_5_3">#REF!</definedName>
    <definedName name="эт_6_1">#REF!</definedName>
    <definedName name="Этажность">[41]Параметры!$B$11</definedName>
    <definedName name="ээээ" hidden="1">{"'Prices'!$A$4:$J$27"}</definedName>
    <definedName name="ю" hidden="1">{#N/A,#N/A,FALSE,"Virgin Flightdeck"}</definedName>
    <definedName name="юбю">#REF!</definedName>
    <definedName name="юля">[98]Описание!$A$3:$IV$43</definedName>
    <definedName name="юр.отд.">'[56]каскад,5'!#REF!</definedName>
    <definedName name="ЮЮЮ">#REF!</definedName>
    <definedName name="юююю" hidden="1">{#VALUE!,#N/A,TRUE,0}</definedName>
    <definedName name="ЮЮЮЮЮЮЮ">#REF!</definedName>
    <definedName name="я" hidden="1">{"'Prices'!$A$4:$J$27"}</definedName>
    <definedName name="я1">#REF!</definedName>
    <definedName name="я10">[4]Лист1!$F$12</definedName>
    <definedName name="я11">[4]Лист1!$F$13</definedName>
    <definedName name="я12">[4]Лист1!$F$14</definedName>
    <definedName name="я13">[4]Лист1!$F$15</definedName>
    <definedName name="я14">[4]Лист1!$F$16</definedName>
    <definedName name="я15">[4]Лист1!$F$17</definedName>
    <definedName name="я16">[4]Лист1!$F$18</definedName>
    <definedName name="я17">[4]Лист1!$F$19</definedName>
    <definedName name="я18">[4]Лист1!$F$58</definedName>
    <definedName name="я19">[4]Лист1!$F$60</definedName>
    <definedName name="я2">#REF!</definedName>
    <definedName name="я20">[4]Лист1!$F$62</definedName>
    <definedName name="я21">[4]Лист1!$F$108</definedName>
    <definedName name="я22">[4]Лист1!$F$64</definedName>
    <definedName name="я23">[4]Лист1!$F$65</definedName>
    <definedName name="я24">[4]Лист1!$F$66</definedName>
    <definedName name="я25">[4]Лист1!$F$67</definedName>
    <definedName name="я26">[4]Лист1!$F$61</definedName>
    <definedName name="я27">[4]Лист1!$F$68</definedName>
    <definedName name="я28">[4]Лист1!$F$69</definedName>
    <definedName name="я29">[4]Лист1!$F$70</definedName>
    <definedName name="я3">#REF!</definedName>
    <definedName name="я30">[4]Лист1!$F$71</definedName>
    <definedName name="я31">[4]Лист1!$F$20</definedName>
    <definedName name="я32">[4]Лист1!$F$21</definedName>
    <definedName name="я33">[4]Лист1!$F$22</definedName>
    <definedName name="я34">[4]Лист1!$F$23</definedName>
    <definedName name="я35">[4]Лист1!$F$24</definedName>
    <definedName name="я36">[4]Лист1!$F$25</definedName>
    <definedName name="я37">[4]Лист1!$F$28</definedName>
    <definedName name="я38">[4]Лист1!$F$48</definedName>
    <definedName name="я39">[4]Лист1!$F$29</definedName>
    <definedName name="я4">[4]Лист1!$F$6</definedName>
    <definedName name="я40">[4]Лист1!$F$30</definedName>
    <definedName name="я41">[4]Лист1!$F$32</definedName>
    <definedName name="я42">[4]Лист1!$F$33</definedName>
    <definedName name="я43">[4]Лист1!$F$34</definedName>
    <definedName name="я44">[4]Лист1!#REF!</definedName>
    <definedName name="я45">[4]Лист1!$F$49</definedName>
    <definedName name="я46">[4]Лист1!$F$39</definedName>
    <definedName name="я47">[4]Лист1!$F$50</definedName>
    <definedName name="я48">[4]Лист1!$F$40</definedName>
    <definedName name="я49">[4]Лист1!#REF!</definedName>
    <definedName name="я5">[4]Лист1!$F$7</definedName>
    <definedName name="я50">[4]Лист1!$F$42</definedName>
    <definedName name="я51">[4]Лист1!$F$54</definedName>
    <definedName name="я52">[4]Лист1!$F$55</definedName>
    <definedName name="я53">[4]Лист1!$F$56</definedName>
    <definedName name="я54">[4]Лист1!$F$57</definedName>
    <definedName name="я55">[4]Лист1!$F$72</definedName>
    <definedName name="я56">[4]Лист1!$F$104</definedName>
    <definedName name="я57">[4]Лист1!$F$74</definedName>
    <definedName name="я58">[4]Лист1!$F$75</definedName>
    <definedName name="я59">[4]Лист1!$F$105</definedName>
    <definedName name="я6">[4]Лист1!$F$8</definedName>
    <definedName name="я60">[4]Лист1!$F$77</definedName>
    <definedName name="я61">[4]Лист1!#REF!</definedName>
    <definedName name="я62">[4]Лист1!$F$79</definedName>
    <definedName name="я63">[4]Лист1!$F$80</definedName>
    <definedName name="я64">[4]Лист1!$F$81</definedName>
    <definedName name="я65">[4]Лист1!$F$106</definedName>
    <definedName name="я66">[4]Лист1!$F$82</definedName>
    <definedName name="я67">[4]Лист1!$F$83</definedName>
    <definedName name="я68">[4]Лист1!$F$84</definedName>
    <definedName name="я69">[4]Лист1!$F$85</definedName>
    <definedName name="я7">[4]Лист1!$F$9</definedName>
    <definedName name="я70">[4]Лист1!$F$87</definedName>
    <definedName name="я71">[4]Лист1!$F$90</definedName>
    <definedName name="я72">[4]Лист1!$F$91</definedName>
    <definedName name="я73">[4]Лист1!$F$93</definedName>
    <definedName name="я74">[4]Лист1!$F$94</definedName>
    <definedName name="я75">[4]Лист1!$F$95</definedName>
    <definedName name="я76">[4]Лист1!$F$96</definedName>
    <definedName name="я77">[4]Лист1!$F$107</definedName>
    <definedName name="я78">[4]Лист1!$F$98</definedName>
    <definedName name="я79">[4]Лист1!$F$99</definedName>
    <definedName name="я8">[4]Лист1!$F$10</definedName>
    <definedName name="я80">[4]Лист1!$F$100</definedName>
    <definedName name="я81">[4]Лист1!$F$111</definedName>
    <definedName name="я82">[4]Лист1!$F$112</definedName>
    <definedName name="я83">[4]Лист1!$F$114</definedName>
    <definedName name="я84">[4]Лист1!$F$202</definedName>
    <definedName name="я85">[4]Лист1!$F$208</definedName>
    <definedName name="я86">[4]Лист1!$F$219</definedName>
    <definedName name="я9">[4]Лист1!$F$11</definedName>
    <definedName name="ява" hidden="1">{"'Sheet1'!$A$1:$G$85"}</definedName>
    <definedName name="яваи" hidden="1">{"'Sheet1'!$A$1:$G$85"}</definedName>
    <definedName name="Яна">[29]НФИк!$A$17</definedName>
    <definedName name="янв">[4]титул!#REF!</definedName>
    <definedName name="янв03гр">#REF!</definedName>
    <definedName name="янв03руб">#REF!</definedName>
    <definedName name="янв03у.е.">#REF!</definedName>
    <definedName name="янв04гр">#REF!</definedName>
    <definedName name="янв04руб.">'[31]Гр+'!#REF!</definedName>
    <definedName name="янв04у.е.">#REF!</definedName>
    <definedName name="январь" hidden="1">{#VALUE!,#N/A,TRUE,0}</definedName>
    <definedName name="яп" hidden="1">{#VALUE!,#N/A,TRUE,0}</definedName>
    <definedName name="яу" hidden="1">{#N/A,#N/A,FALSE,"Virgin Flightdeck"}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_ДС_по">[4]Лист1!$F$137</definedName>
    <definedName name="яч_дс_РЗ_1">[4]Лист1!#REF!</definedName>
    <definedName name="яч_дс_РЗ_2">[4]Лист1!#REF!</definedName>
    <definedName name="яч_дс_РЗ_3">[4]Лист1!#REF!</definedName>
    <definedName name="яч_дс_РЗ_4">[4]Лист1!#REF!</definedName>
    <definedName name="яч_дс_РЗ_5">[4]Лист1!#REF!</definedName>
    <definedName name="яч_дс_РЗ_6">[4]Лист1!#REF!</definedName>
    <definedName name="яч_дс_РЗ_7">[4]Лист1!#REF!</definedName>
    <definedName name="яч_дс_РЗ_8">'[4]PL (2)'!#REF!</definedName>
    <definedName name="яч_ДС_факт">[4]Лист1!$G$137</definedName>
    <definedName name="яч_рз1">'[4]PL (2)'!#REF!</definedName>
    <definedName name="яч_рз2">'[4]PL (2)'!#REF!</definedName>
    <definedName name="яч_рз3">'[4]PL (2)'!#REF!</definedName>
    <definedName name="яч_рз4">'[4]PL (2)'!#REF!</definedName>
    <definedName name="яч_рз5">'[4]PL (2)'!#REF!</definedName>
    <definedName name="яч_рз6">'[4]PL (2)'!#REF!</definedName>
    <definedName name="яч_рпк2">'[4]PL (2)'!#REF!</definedName>
    <definedName name="яч_рпк3">'[4]PL (2)'!#REF!</definedName>
    <definedName name="яч_рпк4">'[4]PL (2)'!#REF!</definedName>
    <definedName name="яч_рпк5">'[4]PL (2)'!#REF!</definedName>
    <definedName name="яч_рпк6">'[4]PL (2)'!#REF!</definedName>
    <definedName name="яч_рпк7">'[4]13,40 Авансы_получ'!#REF!</definedName>
    <definedName name="яч_рпк8">'[4]13,40 Авансы_получ'!#REF!</definedName>
    <definedName name="яч_рск2">'[4]13,40 Авансы_получ'!#REF!</definedName>
    <definedName name="яч_рск3">'[4]13,40 Авансы_получ'!#REF!</definedName>
    <definedName name="яч_руб_по">[4]Лист1!$I$55</definedName>
    <definedName name="яч_руб_факт">[4]Лист1!$J$55</definedName>
    <definedName name="яч_тонн_по">[4]Лист1!$F$55</definedName>
    <definedName name="яч_тонн_факт">[4]Лист1!$G$55</definedName>
    <definedName name="Яч_ф">'[4]Фин. вложения'!$L$58</definedName>
    <definedName name="яч_фур">[4]Лист1!#REF!</definedName>
    <definedName name="яч_фур_дол">[4]Лист1!$H$52</definedName>
    <definedName name="яч_фур_дол_факт">[4]Лист1!#REF!</definedName>
    <definedName name="яч_фур_отг">[4]Лист1!$F$226</definedName>
    <definedName name="яч_фур_отг_ДС">[4]Лист1!$M$191</definedName>
    <definedName name="яч_фур_руб">[4]Лист1!$G$52</definedName>
    <definedName name="яч_фур_руб_факт">[4]Лист1!#REF!</definedName>
    <definedName name="яч_фур_факт">[4]Лист1!#REF!</definedName>
    <definedName name="Ячм">[4]б!$F$44</definedName>
    <definedName name="Ячм_пив_ДС_ПО">[4]Лист1!$F$144</definedName>
    <definedName name="ЯЧМ_пив_ДС_факт">[4]Лист1!$G$144</definedName>
    <definedName name="Ячмень">[4]Лист1!$T$89</definedName>
    <definedName name="ячпивофакттн">[4]Лист1!$I$144</definedName>
    <definedName name="ячряд">[4]Лист1!#REF!</definedName>
    <definedName name="ячряд1">[4]Лист1!#REF!</definedName>
    <definedName name="ячсм" hidden="1">#REF!</definedName>
    <definedName name="ячфПО">[4]Лист1!$M$55</definedName>
    <definedName name="ячфФ">[4]Лист1!$N$55</definedName>
    <definedName name="ящики">#REF!</definedName>
    <definedName name="яя">[4]Лист1!$E$4</definedName>
    <definedName name="яя_рпк1">[4]Лист1!#REF!</definedName>
    <definedName name="яя_рпк2">[4]Лист1!#REF!</definedName>
    <definedName name="яя_рск1">[4]Лист1!#REF!</definedName>
    <definedName name="яя_рск2">[4]Лист1!#REF!</definedName>
    <definedName name="яя_рск3">[4]Лист1!#REF!</definedName>
    <definedName name="яяя">[4]Лист1!$E$4</definedName>
    <definedName name="яяяя" hidden="1">{#N/A,#N/A,TRUE,"Буржуям"}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50" i="2" l="1"/>
  <c r="BW50" i="2"/>
  <c r="BZ48" i="2"/>
  <c r="BY48" i="2"/>
  <c r="BX48" i="2"/>
  <c r="BW48" i="2"/>
  <c r="BZ41" i="2"/>
  <c r="BY41" i="2"/>
  <c r="BX41" i="2"/>
  <c r="BW41" i="2"/>
  <c r="BZ40" i="2"/>
  <c r="BY40" i="2"/>
  <c r="BX40" i="2"/>
  <c r="BW40" i="2"/>
  <c r="BZ39" i="2"/>
  <c r="BY39" i="2"/>
  <c r="BX39" i="2"/>
  <c r="BW39" i="2"/>
  <c r="BZ38" i="2"/>
  <c r="BY38" i="2"/>
  <c r="BX38" i="2"/>
  <c r="BW38" i="2"/>
  <c r="BZ37" i="2"/>
  <c r="BY37" i="2"/>
  <c r="BX37" i="2"/>
  <c r="BW37" i="2"/>
  <c r="BZ36" i="2"/>
  <c r="BY36" i="2"/>
  <c r="BX36" i="2"/>
  <c r="BZ35" i="2"/>
  <c r="BY35" i="2"/>
  <c r="BX35" i="2"/>
  <c r="BZ34" i="2"/>
  <c r="BY34" i="2"/>
  <c r="BX34" i="2"/>
  <c r="BW34" i="2"/>
  <c r="CA18" i="2"/>
  <c r="BZ18" i="2"/>
  <c r="BY18" i="2"/>
  <c r="BX18" i="2"/>
  <c r="CA17" i="2"/>
  <c r="BZ17" i="2"/>
  <c r="BY17" i="2"/>
  <c r="CA14" i="2"/>
  <c r="BZ14" i="2"/>
  <c r="BY14" i="2"/>
  <c r="BX14" i="2"/>
  <c r="CA13" i="2"/>
  <c r="BZ13" i="2"/>
  <c r="BY13" i="2"/>
  <c r="BX13" i="2"/>
  <c r="CA12" i="2"/>
  <c r="BZ12" i="2"/>
  <c r="BY12" i="2"/>
  <c r="BX12" i="2"/>
  <c r="BW12" i="2"/>
  <c r="CA9" i="2"/>
  <c r="BZ9" i="2"/>
  <c r="BY9" i="2"/>
  <c r="BX9" i="2"/>
  <c r="BW9" i="2"/>
  <c r="CA8" i="2"/>
  <c r="BZ8" i="2"/>
  <c r="BY8" i="2"/>
  <c r="BX8" i="2"/>
  <c r="BW8" i="2"/>
  <c r="CA7" i="2"/>
  <c r="O76" i="7" l="1"/>
  <c r="P72" i="7"/>
  <c r="P71" i="7"/>
  <c r="P69" i="7"/>
  <c r="O69" i="7"/>
  <c r="P68" i="7"/>
  <c r="P67" i="7"/>
  <c r="P66" i="7"/>
  <c r="P65" i="7"/>
  <c r="O65" i="7"/>
  <c r="P64" i="7"/>
  <c r="O64" i="7"/>
  <c r="P63" i="7"/>
  <c r="O63" i="7"/>
  <c r="P62" i="7"/>
  <c r="O62" i="7"/>
  <c r="P58" i="7"/>
  <c r="P57" i="7"/>
  <c r="O57" i="7"/>
  <c r="P56" i="7"/>
  <c r="O56" i="7"/>
  <c r="P55" i="7"/>
  <c r="O55" i="7"/>
  <c r="P54" i="7"/>
  <c r="O54" i="7"/>
  <c r="P53" i="7"/>
  <c r="O53" i="7"/>
  <c r="P52" i="7"/>
  <c r="O52" i="7"/>
  <c r="P51" i="7"/>
  <c r="O51" i="7"/>
  <c r="P50" i="7"/>
  <c r="O50" i="7"/>
  <c r="P49" i="7"/>
  <c r="O49" i="7"/>
  <c r="P48" i="7"/>
  <c r="O48" i="7"/>
  <c r="P47" i="7"/>
  <c r="O47" i="7"/>
  <c r="P43" i="7"/>
  <c r="O43" i="7"/>
  <c r="O42" i="7"/>
  <c r="P40" i="7"/>
  <c r="O40" i="7"/>
  <c r="O39" i="7"/>
  <c r="P38" i="7"/>
  <c r="O38" i="7"/>
  <c r="O37" i="7"/>
  <c r="P36" i="7"/>
  <c r="O36" i="7"/>
  <c r="P35" i="7"/>
  <c r="O35" i="7"/>
  <c r="P34" i="7"/>
  <c r="O34" i="7"/>
  <c r="O33" i="7"/>
  <c r="O32" i="7"/>
  <c r="O31" i="7"/>
  <c r="O30" i="7"/>
  <c r="P29" i="7"/>
  <c r="O29" i="7"/>
  <c r="P28" i="7"/>
  <c r="O28" i="7"/>
  <c r="P27" i="7"/>
  <c r="O27" i="7"/>
  <c r="P26" i="7"/>
  <c r="O26" i="7"/>
  <c r="P25" i="7"/>
  <c r="O25" i="7"/>
  <c r="O24" i="7"/>
  <c r="P23" i="7"/>
  <c r="O23" i="7"/>
  <c r="P22" i="7"/>
  <c r="O22" i="7"/>
  <c r="P21" i="7"/>
  <c r="O21" i="7"/>
  <c r="P20" i="7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7" i="7"/>
  <c r="O7" i="7"/>
  <c r="AE66" i="6"/>
  <c r="AE64" i="6"/>
  <c r="AE63" i="6"/>
  <c r="AE62" i="6"/>
  <c r="AE61" i="6"/>
  <c r="AE57" i="6"/>
  <c r="AE56" i="6"/>
  <c r="AE55" i="6"/>
  <c r="AE51" i="6"/>
  <c r="AE58" i="6" s="1"/>
  <c r="AE47" i="6"/>
  <c r="AE48" i="6" s="1"/>
  <c r="AE44" i="6"/>
  <c r="AE43" i="6"/>
  <c r="AE42" i="6"/>
  <c r="AE40" i="6" s="1"/>
  <c r="AE41" i="6"/>
  <c r="AE32" i="6"/>
  <c r="AE31" i="6"/>
  <c r="AE30" i="6"/>
  <c r="AE29" i="6"/>
  <c r="AE28" i="6"/>
  <c r="AE27" i="6"/>
  <c r="AE26" i="6"/>
  <c r="AE25" i="6"/>
  <c r="AE24" i="6"/>
  <c r="AE23" i="6"/>
  <c r="AE22" i="6"/>
  <c r="AE20" i="6"/>
  <c r="AE19" i="6"/>
  <c r="AE18" i="6" s="1"/>
  <c r="AE34" i="6" s="1"/>
  <c r="AE14" i="6"/>
  <c r="AE13" i="6"/>
  <c r="AE11" i="6"/>
  <c r="AE10" i="6"/>
  <c r="AE9" i="6"/>
  <c r="AE8" i="6"/>
  <c r="AE15" i="6" s="1"/>
  <c r="AC66" i="6"/>
  <c r="AC65" i="6"/>
  <c r="AC64" i="6"/>
  <c r="AC62" i="6" s="1"/>
  <c r="AC63" i="6"/>
  <c r="AC61" i="6"/>
  <c r="AC57" i="6"/>
  <c r="AC56" i="6"/>
  <c r="AC55" i="6"/>
  <c r="AC53" i="6"/>
  <c r="AC52" i="6"/>
  <c r="AC51" i="6"/>
  <c r="AC47" i="6"/>
  <c r="AC46" i="6"/>
  <c r="AC48" i="6" s="1"/>
  <c r="AC45" i="6"/>
  <c r="AC44" i="6"/>
  <c r="AC40" i="6"/>
  <c r="AC32" i="6"/>
  <c r="AC31" i="6"/>
  <c r="AC30" i="6"/>
  <c r="AC29" i="6"/>
  <c r="AC28" i="6"/>
  <c r="AC27" i="6"/>
  <c r="AC26" i="6"/>
  <c r="AC25" i="6"/>
  <c r="AC24" i="6"/>
  <c r="AC23" i="6" s="1"/>
  <c r="AC22" i="6"/>
  <c r="AC21" i="6"/>
  <c r="AC20" i="6"/>
  <c r="AC19" i="6"/>
  <c r="AC14" i="6"/>
  <c r="AC13" i="6"/>
  <c r="AC12" i="6"/>
  <c r="AC11" i="6"/>
  <c r="AC10" i="6"/>
  <c r="AC9" i="6"/>
  <c r="AC8" i="6"/>
  <c r="AC15" i="6" s="1"/>
  <c r="P45" i="5"/>
  <c r="P44" i="5"/>
  <c r="P43" i="5"/>
  <c r="P40" i="5"/>
  <c r="P39" i="5"/>
  <c r="P38" i="5"/>
  <c r="P37" i="5"/>
  <c r="P36" i="5"/>
  <c r="P35" i="5"/>
  <c r="P34" i="5"/>
  <c r="P31" i="5"/>
  <c r="P29" i="5"/>
  <c r="P28" i="5"/>
  <c r="P27" i="5"/>
  <c r="P30" i="5" s="1"/>
  <c r="P25" i="5"/>
  <c r="P24" i="5"/>
  <c r="P23" i="5"/>
  <c r="P22" i="5"/>
  <c r="P21" i="5"/>
  <c r="P19" i="5"/>
  <c r="P9" i="5"/>
  <c r="Q29" i="1"/>
  <c r="Q27" i="1" s="1"/>
  <c r="Q28" i="1"/>
  <c r="Q26" i="1"/>
  <c r="Q24" i="1"/>
  <c r="Q25" i="1" s="1"/>
  <c r="Q20" i="1"/>
  <c r="Q19" i="1"/>
  <c r="Q18" i="1"/>
  <c r="Q17" i="1"/>
  <c r="Q16" i="1"/>
  <c r="Q15" i="1"/>
  <c r="Q12" i="1"/>
  <c r="Q11" i="1"/>
  <c r="Q10" i="1"/>
  <c r="Q21" i="1" s="1"/>
  <c r="Q9" i="1"/>
  <c r="Q8" i="1"/>
  <c r="Q7" i="1"/>
  <c r="AE36" i="6" l="1"/>
  <c r="AC58" i="6"/>
  <c r="AC68" i="6" s="1"/>
  <c r="AC18" i="6"/>
  <c r="AC34" i="6" s="1"/>
  <c r="AC36" i="6" s="1"/>
  <c r="AE67" i="6"/>
  <c r="AE68" i="6" s="1"/>
  <c r="O41" i="7"/>
  <c r="O44" i="7" s="1"/>
  <c r="O59" i="7"/>
  <c r="AC67" i="6"/>
  <c r="P41" i="7"/>
  <c r="P44" i="7" s="1"/>
  <c r="P59" i="7"/>
  <c r="AU58" i="7"/>
  <c r="AU37" i="7"/>
  <c r="P78" i="7"/>
  <c r="P77" i="7"/>
  <c r="AU72" i="7"/>
  <c r="AU71" i="7"/>
  <c r="AU50" i="7"/>
  <c r="AU32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U16" i="5"/>
  <c r="AU15" i="5"/>
  <c r="AU14" i="5"/>
  <c r="AU12" i="5"/>
  <c r="AU11" i="5"/>
  <c r="AU10" i="5"/>
  <c r="P59" i="5"/>
  <c r="P57" i="5"/>
  <c r="P55" i="5"/>
  <c r="P54" i="5"/>
  <c r="P53" i="5"/>
  <c r="AU53" i="5" s="1"/>
  <c r="P52" i="5"/>
  <c r="AU44" i="5"/>
  <c r="AU19" i="5"/>
  <c r="P56" i="5" l="1"/>
  <c r="P58" i="5" s="1"/>
  <c r="P60" i="5" s="1"/>
  <c r="P9" i="2"/>
  <c r="Q50" i="2"/>
  <c r="Q48" i="2"/>
  <c r="Q41" i="2"/>
  <c r="Q40" i="2"/>
  <c r="Q39" i="2"/>
  <c r="Q38" i="2"/>
  <c r="Q51" i="2"/>
  <c r="Q49" i="2"/>
  <c r="Q47" i="2"/>
  <c r="Q46" i="2"/>
  <c r="Q45" i="2"/>
  <c r="Q44" i="2"/>
  <c r="Q33" i="2"/>
  <c r="Q32" i="2"/>
  <c r="Q31" i="2"/>
  <c r="Q30" i="2"/>
  <c r="Q29" i="2"/>
  <c r="Q37" i="2" s="1"/>
  <c r="Q28" i="2"/>
  <c r="Q36" i="2" s="1"/>
  <c r="Q27" i="2"/>
  <c r="Q35" i="2" s="1"/>
  <c r="Q26" i="2"/>
  <c r="Q34" i="2" s="1"/>
  <c r="Q18" i="2"/>
  <c r="Q17" i="2"/>
  <c r="Q14" i="2"/>
  <c r="Q13" i="2"/>
  <c r="Q12" i="2"/>
  <c r="Q9" i="2"/>
  <c r="Q8" i="2"/>
  <c r="Q7" i="2"/>
  <c r="AT57" i="7" l="1"/>
  <c r="AU57" i="7" s="1"/>
  <c r="AT56" i="7"/>
  <c r="AU56" i="7" s="1"/>
  <c r="AT55" i="7"/>
  <c r="AU55" i="7" s="1"/>
  <c r="AT54" i="7"/>
  <c r="AU54" i="7" s="1"/>
  <c r="AT53" i="7"/>
  <c r="AU53" i="7" s="1"/>
  <c r="AT52" i="7"/>
  <c r="AU52" i="7" s="1"/>
  <c r="AT51" i="7"/>
  <c r="AU51" i="7" s="1"/>
  <c r="AT49" i="7"/>
  <c r="AU49" i="7" s="1"/>
  <c r="AT48" i="7"/>
  <c r="AU48" i="7" s="1"/>
  <c r="AT47" i="7"/>
  <c r="AT40" i="7"/>
  <c r="AU40" i="7" s="1"/>
  <c r="AT39" i="7"/>
  <c r="AU39" i="7" s="1"/>
  <c r="AT38" i="7"/>
  <c r="AU38" i="7" s="1"/>
  <c r="AT36" i="7"/>
  <c r="AU36" i="7" s="1"/>
  <c r="AT35" i="7"/>
  <c r="AU35" i="7" s="1"/>
  <c r="AT34" i="7"/>
  <c r="AU34" i="7" s="1"/>
  <c r="AT33" i="7"/>
  <c r="AU33" i="7" s="1"/>
  <c r="AT59" i="7" l="1"/>
  <c r="AU59" i="7" s="1"/>
  <c r="AU47" i="7"/>
  <c r="AT77" i="7"/>
  <c r="AU77" i="7" s="1"/>
  <c r="AT76" i="7"/>
  <c r="AR77" i="7"/>
  <c r="AR76" i="7"/>
  <c r="AT70" i="7"/>
  <c r="AT69" i="7"/>
  <c r="AU69" i="7" s="1"/>
  <c r="AT68" i="7"/>
  <c r="AU68" i="7" s="1"/>
  <c r="AT67" i="7"/>
  <c r="AU67" i="7" s="1"/>
  <c r="AT66" i="7"/>
  <c r="AU66" i="7" s="1"/>
  <c r="AT65" i="7"/>
  <c r="AU65" i="7" s="1"/>
  <c r="AT64" i="7"/>
  <c r="AU64" i="7" s="1"/>
  <c r="AT63" i="7"/>
  <c r="AU63" i="7" s="1"/>
  <c r="AT62" i="7"/>
  <c r="AR70" i="7"/>
  <c r="AR69" i="7"/>
  <c r="AR68" i="7"/>
  <c r="AR67" i="7"/>
  <c r="AR66" i="7"/>
  <c r="AR65" i="7"/>
  <c r="AR64" i="7"/>
  <c r="AR63" i="7"/>
  <c r="AR62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4" i="7"/>
  <c r="AR13" i="7"/>
  <c r="AR12" i="7"/>
  <c r="AR11" i="7"/>
  <c r="AR10" i="7"/>
  <c r="AR43" i="7"/>
  <c r="AR42" i="7"/>
  <c r="AR40" i="7"/>
  <c r="AR39" i="7"/>
  <c r="AR38" i="7"/>
  <c r="AR37" i="7"/>
  <c r="AR36" i="7"/>
  <c r="AR35" i="7"/>
  <c r="AR34" i="7"/>
  <c r="AR33" i="7"/>
  <c r="AR32" i="7"/>
  <c r="AT43" i="7"/>
  <c r="AU43" i="7" s="1"/>
  <c r="AT42" i="7"/>
  <c r="AU42" i="7" s="1"/>
  <c r="AT30" i="7"/>
  <c r="AU30" i="7" s="1"/>
  <c r="AT29" i="7"/>
  <c r="AU29" i="7" s="1"/>
  <c r="AT28" i="7"/>
  <c r="AU28" i="7" s="1"/>
  <c r="AT27" i="7"/>
  <c r="AU27" i="7" s="1"/>
  <c r="AT26" i="7"/>
  <c r="AU26" i="7" s="1"/>
  <c r="AT25" i="7"/>
  <c r="AU25" i="7" s="1"/>
  <c r="AT24" i="7"/>
  <c r="AU24" i="7" s="1"/>
  <c r="AT23" i="7"/>
  <c r="AU23" i="7" s="1"/>
  <c r="AT22" i="7"/>
  <c r="AU22" i="7" s="1"/>
  <c r="AT21" i="7"/>
  <c r="AU21" i="7" s="1"/>
  <c r="AT20" i="7"/>
  <c r="AU20" i="7" s="1"/>
  <c r="AT19" i="7"/>
  <c r="AU19" i="7" s="1"/>
  <c r="AT18" i="7"/>
  <c r="AU18" i="7" s="1"/>
  <c r="AT17" i="7"/>
  <c r="AU17" i="7" s="1"/>
  <c r="AT16" i="7"/>
  <c r="AU16" i="7" s="1"/>
  <c r="AT15" i="7"/>
  <c r="AU15" i="7" s="1"/>
  <c r="AT14" i="7"/>
  <c r="AU14" i="7" s="1"/>
  <c r="AT13" i="7"/>
  <c r="AU13" i="7" s="1"/>
  <c r="AT12" i="7"/>
  <c r="AU12" i="7" s="1"/>
  <c r="AT11" i="7"/>
  <c r="AU11" i="7" s="1"/>
  <c r="AT10" i="7"/>
  <c r="AU10" i="7" s="1"/>
  <c r="AT7" i="7"/>
  <c r="AU7" i="7" s="1"/>
  <c r="AD66" i="6"/>
  <c r="AD65" i="6"/>
  <c r="AD67" i="6" s="1"/>
  <c r="AD64" i="6"/>
  <c r="AD63" i="6"/>
  <c r="AD62" i="6"/>
  <c r="AD61" i="6"/>
  <c r="AD57" i="6"/>
  <c r="AD56" i="6"/>
  <c r="AD55" i="6"/>
  <c r="AD53" i="6"/>
  <c r="AD52" i="6" s="1"/>
  <c r="AD58" i="6" s="1"/>
  <c r="AD51" i="6"/>
  <c r="AD47" i="6"/>
  <c r="AD46" i="6"/>
  <c r="AD45" i="6"/>
  <c r="AD44" i="6"/>
  <c r="AD43" i="6"/>
  <c r="AD42" i="6"/>
  <c r="AD40" i="6" s="1"/>
  <c r="AD41" i="6"/>
  <c r="AD32" i="6"/>
  <c r="AD31" i="6"/>
  <c r="AD30" i="6"/>
  <c r="AD29" i="6"/>
  <c r="AD28" i="6"/>
  <c r="AD27" i="6"/>
  <c r="AD26" i="6"/>
  <c r="AD25" i="6"/>
  <c r="AD24" i="6"/>
  <c r="AD22" i="6"/>
  <c r="AD21" i="6"/>
  <c r="AD20" i="6"/>
  <c r="AD19" i="6"/>
  <c r="AD14" i="6"/>
  <c r="AD13" i="6"/>
  <c r="AD12" i="6"/>
  <c r="AD11" i="6"/>
  <c r="AD10" i="6"/>
  <c r="AD9" i="6"/>
  <c r="AD15" i="6" s="1"/>
  <c r="AD8" i="6"/>
  <c r="AT39" i="5"/>
  <c r="AT33" i="5"/>
  <c r="AU33" i="5" s="1"/>
  <c r="AT31" i="5"/>
  <c r="AU31" i="5" s="1"/>
  <c r="AT29" i="5"/>
  <c r="AU29" i="5" s="1"/>
  <c r="AT28" i="5"/>
  <c r="AT27" i="5"/>
  <c r="AU27" i="5" s="1"/>
  <c r="AT24" i="5"/>
  <c r="AU24" i="5" s="1"/>
  <c r="AT23" i="5"/>
  <c r="AU23" i="5" s="1"/>
  <c r="AT22" i="5"/>
  <c r="AU22" i="5" s="1"/>
  <c r="AT21" i="5"/>
  <c r="AU21" i="5" s="1"/>
  <c r="AT20" i="5"/>
  <c r="AU20" i="5" s="1"/>
  <c r="AT13" i="5"/>
  <c r="AU13" i="5" s="1"/>
  <c r="AT9" i="5"/>
  <c r="AU9" i="5" s="1"/>
  <c r="AT59" i="5"/>
  <c r="AU59" i="5" s="1"/>
  <c r="AT57" i="5"/>
  <c r="AU57" i="5" s="1"/>
  <c r="AT55" i="5"/>
  <c r="AU55" i="5" s="1"/>
  <c r="AT54" i="5"/>
  <c r="AT52" i="5"/>
  <c r="AU52" i="5" s="1"/>
  <c r="AD18" i="6" l="1"/>
  <c r="AU62" i="7"/>
  <c r="AT73" i="7"/>
  <c r="AT17" i="5"/>
  <c r="AU39" i="5"/>
  <c r="AD48" i="6"/>
  <c r="AD68" i="6" s="1"/>
  <c r="AR73" i="7"/>
  <c r="AT30" i="5"/>
  <c r="AU28" i="5"/>
  <c r="AD23" i="6"/>
  <c r="AT31" i="7"/>
  <c r="AT56" i="5"/>
  <c r="AU54" i="5"/>
  <c r="BV51" i="2"/>
  <c r="BU51" i="2"/>
  <c r="BV50" i="2"/>
  <c r="BU50" i="2"/>
  <c r="BV49" i="2"/>
  <c r="BU49" i="2"/>
  <c r="BV48" i="2"/>
  <c r="BU48" i="2"/>
  <c r="BV41" i="2"/>
  <c r="BU41" i="2"/>
  <c r="BV40" i="2"/>
  <c r="BU40" i="2"/>
  <c r="BV39" i="2"/>
  <c r="BU39" i="2"/>
  <c r="BV38" i="2"/>
  <c r="BU38" i="2"/>
  <c r="BV37" i="2"/>
  <c r="BU37" i="2"/>
  <c r="BV36" i="2"/>
  <c r="BU36" i="2"/>
  <c r="BV35" i="2"/>
  <c r="BU35" i="2"/>
  <c r="BT35" i="2"/>
  <c r="BV34" i="2"/>
  <c r="BU34" i="2"/>
  <c r="BV29" i="2"/>
  <c r="BU29" i="2"/>
  <c r="BV28" i="2"/>
  <c r="BU28" i="2"/>
  <c r="BV26" i="2"/>
  <c r="BU26" i="2"/>
  <c r="BV9" i="2"/>
  <c r="BU9" i="2"/>
  <c r="AU30" i="5" l="1"/>
  <c r="AD34" i="6"/>
  <c r="AD36" i="6" s="1"/>
  <c r="AT58" i="5"/>
  <c r="AU56" i="5"/>
  <c r="AU31" i="7"/>
  <c r="AT41" i="7"/>
  <c r="AU17" i="5"/>
  <c r="AT25" i="5"/>
  <c r="AU25" i="5" s="1"/>
  <c r="BV18" i="2"/>
  <c r="BU18" i="2"/>
  <c r="BT18" i="2"/>
  <c r="BV14" i="2"/>
  <c r="BU14" i="2"/>
  <c r="BV13" i="2"/>
  <c r="BU13" i="2"/>
  <c r="BV12" i="2"/>
  <c r="BU12" i="2"/>
  <c r="BV8" i="2"/>
  <c r="BU8" i="2"/>
  <c r="BT8" i="2"/>
  <c r="BS8" i="2"/>
  <c r="BV7" i="2"/>
  <c r="BU7" i="2"/>
  <c r="P48" i="1"/>
  <c r="P47" i="1"/>
  <c r="P46" i="1"/>
  <c r="AT32" i="5" l="1"/>
  <c r="AT44" i="7"/>
  <c r="AU41" i="7"/>
  <c r="AT60" i="5"/>
  <c r="AU60" i="5" s="1"/>
  <c r="AU58" i="5"/>
  <c r="D21" i="1"/>
  <c r="C21" i="1"/>
  <c r="AT34" i="5" l="1"/>
  <c r="AU32" i="5"/>
  <c r="AU44" i="7"/>
  <c r="AT75" i="7"/>
  <c r="AT78" i="7" s="1"/>
  <c r="AU78" i="7" s="1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S77" i="7"/>
  <c r="AS76" i="7"/>
  <c r="AS69" i="7"/>
  <c r="AS65" i="7"/>
  <c r="AS64" i="7"/>
  <c r="AS63" i="7"/>
  <c r="AS62" i="7"/>
  <c r="AS43" i="7"/>
  <c r="AS42" i="7"/>
  <c r="AS40" i="7"/>
  <c r="AS39" i="7"/>
  <c r="AS38" i="7"/>
  <c r="AS37" i="7"/>
  <c r="AS36" i="7"/>
  <c r="AS35" i="7"/>
  <c r="AS34" i="7"/>
  <c r="AS33" i="7"/>
  <c r="AS32" i="7"/>
  <c r="AS30" i="7"/>
  <c r="AS29" i="7"/>
  <c r="AS28" i="7"/>
  <c r="AS27" i="7"/>
  <c r="AS26" i="7"/>
  <c r="AS25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O78" i="7"/>
  <c r="P76" i="7" s="1"/>
  <c r="AU76" i="7" s="1"/>
  <c r="O77" i="7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A29" i="6"/>
  <c r="AS12" i="5"/>
  <c r="AS11" i="5"/>
  <c r="AS10" i="5"/>
  <c r="O59" i="5"/>
  <c r="O57" i="5"/>
  <c r="N30" i="5"/>
  <c r="N24" i="5"/>
  <c r="N23" i="5"/>
  <c r="N25" i="5" s="1"/>
  <c r="N16" i="5"/>
  <c r="N15" i="5"/>
  <c r="N14" i="5"/>
  <c r="N13" i="5"/>
  <c r="N12" i="5"/>
  <c r="N11" i="5"/>
  <c r="N10" i="5"/>
  <c r="N9" i="5"/>
  <c r="O45" i="5"/>
  <c r="O44" i="5"/>
  <c r="AS44" i="5" s="1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29" i="5"/>
  <c r="O28" i="5"/>
  <c r="O27" i="5"/>
  <c r="O25" i="5"/>
  <c r="O24" i="5"/>
  <c r="O23" i="5"/>
  <c r="O22" i="5"/>
  <c r="O21" i="5"/>
  <c r="O55" i="5" s="1"/>
  <c r="O20" i="5"/>
  <c r="O54" i="5" s="1"/>
  <c r="O17" i="5"/>
  <c r="O52" i="5" s="1"/>
  <c r="O13" i="5"/>
  <c r="O9" i="5"/>
  <c r="P29" i="1"/>
  <c r="P28" i="1"/>
  <c r="P27" i="1"/>
  <c r="P26" i="1"/>
  <c r="P25" i="1"/>
  <c r="P24" i="1"/>
  <c r="P21" i="1"/>
  <c r="P20" i="1"/>
  <c r="P19" i="1"/>
  <c r="P18" i="1"/>
  <c r="P17" i="1"/>
  <c r="P16" i="1"/>
  <c r="P15" i="1"/>
  <c r="P12" i="1"/>
  <c r="P11" i="1"/>
  <c r="P10" i="1"/>
  <c r="P9" i="1"/>
  <c r="P8" i="1"/>
  <c r="P7" i="1"/>
  <c r="O56" i="5" l="1"/>
  <c r="O30" i="5"/>
  <c r="AU34" i="5"/>
  <c r="AT35" i="5"/>
  <c r="P43" i="1"/>
  <c r="AU35" i="5" l="1"/>
  <c r="AT38" i="5"/>
  <c r="O58" i="5"/>
  <c r="P51" i="2"/>
  <c r="P40" i="2"/>
  <c r="P39" i="2"/>
  <c r="P38" i="2"/>
  <c r="P29" i="2"/>
  <c r="P13" i="2"/>
  <c r="P12" i="2"/>
  <c r="P7" i="2"/>
  <c r="P50" i="2"/>
  <c r="P49" i="2"/>
  <c r="P48" i="2"/>
  <c r="P47" i="2"/>
  <c r="P46" i="2"/>
  <c r="P45" i="2"/>
  <c r="P44" i="2"/>
  <c r="P41" i="2"/>
  <c r="P33" i="2"/>
  <c r="P32" i="2"/>
  <c r="P31" i="2"/>
  <c r="P30" i="2"/>
  <c r="P28" i="2"/>
  <c r="P36" i="2" s="1"/>
  <c r="P27" i="2"/>
  <c r="P26" i="2"/>
  <c r="P24" i="2"/>
  <c r="P18" i="2"/>
  <c r="P17" i="2"/>
  <c r="O60" i="5" l="1"/>
  <c r="AU38" i="5"/>
  <c r="AT43" i="5"/>
  <c r="AT40" i="5"/>
  <c r="AU40" i="5" s="1"/>
  <c r="P34" i="2"/>
  <c r="P35" i="2"/>
  <c r="P14" i="2"/>
  <c r="AT45" i="5" l="1"/>
  <c r="AU45" i="5" s="1"/>
  <c r="AU43" i="5"/>
  <c r="P42" i="1"/>
  <c r="P39" i="1"/>
  <c r="P38" i="1"/>
  <c r="P37" i="1"/>
  <c r="P34" i="1"/>
  <c r="P33" i="1"/>
  <c r="P32" i="1"/>
  <c r="AR57" i="7" l="1"/>
  <c r="AS57" i="7" s="1"/>
  <c r="AR56" i="7"/>
  <c r="AS56" i="7" s="1"/>
  <c r="AR55" i="7"/>
  <c r="AS55" i="7" s="1"/>
  <c r="AR54" i="7"/>
  <c r="AS54" i="7" s="1"/>
  <c r="AR53" i="7"/>
  <c r="AS53" i="7" s="1"/>
  <c r="AR52" i="7"/>
  <c r="AS52" i="7" s="1"/>
  <c r="AR51" i="7"/>
  <c r="AS51" i="7" s="1"/>
  <c r="AR50" i="7"/>
  <c r="AS50" i="7" s="1"/>
  <c r="AR49" i="7"/>
  <c r="AS49" i="7" s="1"/>
  <c r="AR48" i="7"/>
  <c r="AS48" i="7" s="1"/>
  <c r="AR47" i="7"/>
  <c r="AR31" i="7"/>
  <c r="AR41" i="7" s="1"/>
  <c r="AR44" i="7" s="1"/>
  <c r="AR7" i="7"/>
  <c r="AS7" i="7" s="1"/>
  <c r="AP73" i="7"/>
  <c r="AP52" i="7"/>
  <c r="AP51" i="7"/>
  <c r="AP32" i="7"/>
  <c r="AP13" i="7"/>
  <c r="AP10" i="7"/>
  <c r="AB68" i="6"/>
  <c r="AB67" i="6"/>
  <c r="AB66" i="6"/>
  <c r="AB65" i="6"/>
  <c r="AB64" i="6"/>
  <c r="AB63" i="6"/>
  <c r="AB62" i="6" s="1"/>
  <c r="AB58" i="6"/>
  <c r="AB57" i="6"/>
  <c r="AB55" i="6"/>
  <c r="AB53" i="6"/>
  <c r="AB52" i="6"/>
  <c r="AB51" i="6"/>
  <c r="AB48" i="6"/>
  <c r="AB47" i="6"/>
  <c r="AB46" i="6"/>
  <c r="AB45" i="6"/>
  <c r="AB44" i="6"/>
  <c r="AB42" i="6"/>
  <c r="AB41" i="6"/>
  <c r="AB40" i="6" s="1"/>
  <c r="AB36" i="6"/>
  <c r="AB34" i="6"/>
  <c r="AB32" i="6"/>
  <c r="AB31" i="6"/>
  <c r="AB30" i="6"/>
  <c r="AB28" i="6"/>
  <c r="AB27" i="6"/>
  <c r="AB26" i="6"/>
  <c r="AB25" i="6"/>
  <c r="AB24" i="6"/>
  <c r="AB22" i="6"/>
  <c r="AB21" i="6"/>
  <c r="AB20" i="6"/>
  <c r="AB19" i="6"/>
  <c r="AB18" i="6"/>
  <c r="AB14" i="6"/>
  <c r="AB13" i="6"/>
  <c r="AB12" i="6"/>
  <c r="AB11" i="6"/>
  <c r="AB10" i="6"/>
  <c r="AB9" i="6"/>
  <c r="AB8" i="6"/>
  <c r="AR9" i="5"/>
  <c r="AR59" i="5"/>
  <c r="AS59" i="5" s="1"/>
  <c r="AR57" i="5"/>
  <c r="AS57" i="5" s="1"/>
  <c r="AR51" i="5"/>
  <c r="AR39" i="5"/>
  <c r="AS39" i="5" s="1"/>
  <c r="AR33" i="5"/>
  <c r="AS33" i="5" s="1"/>
  <c r="AR31" i="5"/>
  <c r="AS31" i="5" s="1"/>
  <c r="AR29" i="5"/>
  <c r="AR28" i="5"/>
  <c r="AS28" i="5" s="1"/>
  <c r="AR27" i="5"/>
  <c r="AS27" i="5" s="1"/>
  <c r="AR24" i="5"/>
  <c r="AS24" i="5" s="1"/>
  <c r="AR23" i="5"/>
  <c r="AS23" i="5" s="1"/>
  <c r="AR22" i="5"/>
  <c r="AS22" i="5" s="1"/>
  <c r="AR21" i="5"/>
  <c r="AR20" i="5"/>
  <c r="AR13" i="5"/>
  <c r="AS13" i="5" s="1"/>
  <c r="AP57" i="5"/>
  <c r="AP55" i="5"/>
  <c r="AP54" i="5"/>
  <c r="AP51" i="5"/>
  <c r="AP30" i="5"/>
  <c r="AP24" i="5"/>
  <c r="AP9" i="5"/>
  <c r="AP17" i="5" s="1"/>
  <c r="AP59" i="7" l="1"/>
  <c r="AP75" i="7" s="1"/>
  <c r="AR17" i="5"/>
  <c r="AS17" i="5" s="1"/>
  <c r="AS9" i="5"/>
  <c r="AR54" i="5"/>
  <c r="AS54" i="5" s="1"/>
  <c r="AS20" i="5"/>
  <c r="AB15" i="6"/>
  <c r="AR30" i="5"/>
  <c r="AS30" i="5" s="1"/>
  <c r="AS29" i="5"/>
  <c r="AR55" i="5"/>
  <c r="AS55" i="5" s="1"/>
  <c r="AS21" i="5"/>
  <c r="AP31" i="7"/>
  <c r="AP41" i="7" s="1"/>
  <c r="AP44" i="7" s="1"/>
  <c r="AR59" i="7"/>
  <c r="AR75" i="7" s="1"/>
  <c r="AR78" i="7" s="1"/>
  <c r="AS78" i="7" s="1"/>
  <c r="AS47" i="7"/>
  <c r="AS59" i="7" s="1"/>
  <c r="AB23" i="6"/>
  <c r="AS31" i="7"/>
  <c r="AR52" i="5"/>
  <c r="AR25" i="5"/>
  <c r="AS25" i="5" s="1"/>
  <c r="AP52" i="5"/>
  <c r="AP56" i="5" s="1"/>
  <c r="AP58" i="5" s="1"/>
  <c r="AP60" i="5" s="1"/>
  <c r="AP25" i="5"/>
  <c r="AP32" i="5"/>
  <c r="AP34" i="5" s="1"/>
  <c r="AP35" i="5" s="1"/>
  <c r="AP38" i="5" s="1"/>
  <c r="AQ9" i="5"/>
  <c r="O51" i="2"/>
  <c r="O50" i="2"/>
  <c r="O49" i="2"/>
  <c r="O47" i="2"/>
  <c r="O46" i="2"/>
  <c r="O45" i="2"/>
  <c r="O41" i="2"/>
  <c r="O40" i="2"/>
  <c r="O39" i="2"/>
  <c r="O33" i="2"/>
  <c r="O32" i="2"/>
  <c r="O31" i="2"/>
  <c r="O29" i="2"/>
  <c r="O37" i="2" s="1"/>
  <c r="O28" i="2"/>
  <c r="O27" i="2"/>
  <c r="AR56" i="5" l="1"/>
  <c r="AS52" i="5"/>
  <c r="O35" i="2"/>
  <c r="O36" i="2"/>
  <c r="AR32" i="5"/>
  <c r="AS41" i="7"/>
  <c r="AP43" i="5"/>
  <c r="AP45" i="5" s="1"/>
  <c r="AP40" i="5"/>
  <c r="O18" i="2"/>
  <c r="O17" i="2"/>
  <c r="O13" i="2"/>
  <c r="O12" i="2"/>
  <c r="O14" i="2" s="1"/>
  <c r="O8" i="2"/>
  <c r="O7" i="2"/>
  <c r="O24" i="2"/>
  <c r="S78" i="7"/>
  <c r="U78" i="7"/>
  <c r="W78" i="7"/>
  <c r="W76" i="7"/>
  <c r="U76" i="7"/>
  <c r="S76" i="7"/>
  <c r="AO76" i="7"/>
  <c r="AM76" i="7"/>
  <c r="AK76" i="7"/>
  <c r="AI76" i="7"/>
  <c r="AG76" i="7"/>
  <c r="AE76" i="7"/>
  <c r="AC76" i="7"/>
  <c r="AA76" i="7"/>
  <c r="Y76" i="7"/>
  <c r="Y78" i="7"/>
  <c r="AA78" i="7"/>
  <c r="AC78" i="7"/>
  <c r="AE78" i="7"/>
  <c r="AG78" i="7"/>
  <c r="AI78" i="7"/>
  <c r="AM78" i="7"/>
  <c r="AK78" i="7"/>
  <c r="AR58" i="5" l="1"/>
  <c r="AS56" i="5"/>
  <c r="AR34" i="5"/>
  <c r="AS32" i="5"/>
  <c r="AS44" i="7"/>
  <c r="C76" i="7"/>
  <c r="D76" i="7"/>
  <c r="E76" i="7"/>
  <c r="F76" i="7"/>
  <c r="G76" i="7"/>
  <c r="H76" i="7"/>
  <c r="I76" i="7"/>
  <c r="J76" i="7"/>
  <c r="K76" i="7"/>
  <c r="L76" i="7"/>
  <c r="M76" i="7"/>
  <c r="N76" i="7"/>
  <c r="AO78" i="7"/>
  <c r="AQ77" i="7"/>
  <c r="AQ76" i="7"/>
  <c r="AQ78" i="7"/>
  <c r="AQ10" i="7"/>
  <c r="AQ11" i="7"/>
  <c r="AQ12" i="7"/>
  <c r="AQ13" i="7"/>
  <c r="AQ16" i="7"/>
  <c r="AQ17" i="7"/>
  <c r="AQ18" i="7"/>
  <c r="AQ20" i="7"/>
  <c r="AQ22" i="7"/>
  <c r="AQ25" i="7"/>
  <c r="AQ27" i="7"/>
  <c r="AQ28" i="7"/>
  <c r="AQ29" i="7"/>
  <c r="AQ30" i="7"/>
  <c r="AQ31" i="7"/>
  <c r="AQ32" i="7"/>
  <c r="AQ33" i="7"/>
  <c r="AQ34" i="7"/>
  <c r="AQ37" i="7"/>
  <c r="AQ38" i="7"/>
  <c r="AQ39" i="7"/>
  <c r="AQ42" i="7"/>
  <c r="AQ43" i="7"/>
  <c r="AQ47" i="7"/>
  <c r="AQ48" i="7"/>
  <c r="AQ49" i="7"/>
  <c r="AQ50" i="7"/>
  <c r="AQ51" i="7"/>
  <c r="AQ52" i="7"/>
  <c r="AQ53" i="7"/>
  <c r="AQ54" i="7"/>
  <c r="AQ55" i="7"/>
  <c r="AQ56" i="7"/>
  <c r="AQ64" i="7"/>
  <c r="AQ65" i="7"/>
  <c r="AQ69" i="7"/>
  <c r="AQ7" i="7"/>
  <c r="AO73" i="7"/>
  <c r="AN73" i="7"/>
  <c r="N70" i="7"/>
  <c r="AQ70" i="7" s="1"/>
  <c r="N68" i="7"/>
  <c r="AQ68" i="7" s="1"/>
  <c r="N67" i="7"/>
  <c r="AQ67" i="7" s="1"/>
  <c r="N66" i="7"/>
  <c r="AQ66" i="7" s="1"/>
  <c r="N63" i="7"/>
  <c r="AQ63" i="7" s="1"/>
  <c r="N62" i="7"/>
  <c r="N57" i="7"/>
  <c r="N40" i="7"/>
  <c r="N41" i="7" s="1"/>
  <c r="N26" i="7"/>
  <c r="AQ26" i="7" s="1"/>
  <c r="N21" i="7"/>
  <c r="AQ21" i="7" s="1"/>
  <c r="N19" i="7"/>
  <c r="AQ19" i="7" s="1"/>
  <c r="N14" i="7"/>
  <c r="AQ14" i="7" s="1"/>
  <c r="Z63" i="6"/>
  <c r="AA63" i="6"/>
  <c r="Y62" i="6"/>
  <c r="AA64" i="6"/>
  <c r="AA62" i="6" s="1"/>
  <c r="Z62" i="6"/>
  <c r="O66" i="7" l="1"/>
  <c r="AS66" i="7" s="1"/>
  <c r="AR35" i="5"/>
  <c r="AS34" i="5"/>
  <c r="O67" i="7"/>
  <c r="AS67" i="7" s="1"/>
  <c r="O68" i="7"/>
  <c r="AS68" i="7" s="1"/>
  <c r="AR60" i="5"/>
  <c r="AS60" i="5" s="1"/>
  <c r="AS58" i="5"/>
  <c r="AQ57" i="7"/>
  <c r="N59" i="7"/>
  <c r="AQ59" i="7"/>
  <c r="N73" i="7"/>
  <c r="AQ73" i="7" s="1"/>
  <c r="N44" i="7"/>
  <c r="AQ44" i="7" s="1"/>
  <c r="AQ41" i="7"/>
  <c r="AQ40" i="7"/>
  <c r="AQ62" i="7"/>
  <c r="AA28" i="6"/>
  <c r="AA27" i="6"/>
  <c r="AA22" i="6"/>
  <c r="AA18" i="6" s="1"/>
  <c r="Y27" i="6"/>
  <c r="Y28" i="6"/>
  <c r="Y22" i="6"/>
  <c r="AA40" i="6"/>
  <c r="AA23" i="6"/>
  <c r="AA15" i="6"/>
  <c r="AQ57" i="5"/>
  <c r="AQ59" i="5"/>
  <c r="AQ13" i="5"/>
  <c r="AQ17" i="5"/>
  <c r="AQ18" i="5"/>
  <c r="AQ20" i="5"/>
  <c r="AQ21" i="5"/>
  <c r="AQ22" i="5"/>
  <c r="AQ24" i="5"/>
  <c r="AQ26" i="5"/>
  <c r="AQ27" i="5"/>
  <c r="AQ28" i="5"/>
  <c r="AQ29" i="5"/>
  <c r="AQ30" i="5"/>
  <c r="AQ31" i="5"/>
  <c r="AQ32" i="5"/>
  <c r="AQ33" i="5"/>
  <c r="AQ34" i="5"/>
  <c r="AQ35" i="5"/>
  <c r="AQ38" i="5"/>
  <c r="AQ39" i="5"/>
  <c r="AQ40" i="5"/>
  <c r="AQ43" i="5"/>
  <c r="AQ44" i="5"/>
  <c r="AQ45" i="5"/>
  <c r="AQ51" i="5"/>
  <c r="N55" i="5"/>
  <c r="N54" i="5"/>
  <c r="N52" i="5"/>
  <c r="AQ25" i="5"/>
  <c r="AQ16" i="5"/>
  <c r="AQ15" i="5"/>
  <c r="AQ14" i="5"/>
  <c r="AQ12" i="5"/>
  <c r="AQ11" i="5"/>
  <c r="AQ10" i="5"/>
  <c r="O27" i="1"/>
  <c r="N27" i="1"/>
  <c r="O25" i="1"/>
  <c r="N25" i="1"/>
  <c r="O16" i="1"/>
  <c r="AR38" i="5" l="1"/>
  <c r="AS35" i="5"/>
  <c r="AQ75" i="7"/>
  <c r="AQ54" i="5"/>
  <c r="AQ55" i="5"/>
  <c r="N56" i="5"/>
  <c r="AQ52" i="5"/>
  <c r="N75" i="7"/>
  <c r="AQ23" i="5"/>
  <c r="BR48" i="2"/>
  <c r="BR44" i="2"/>
  <c r="BR38" i="2"/>
  <c r="BR34" i="2"/>
  <c r="BR30" i="2"/>
  <c r="BR26" i="2"/>
  <c r="AS38" i="5" l="1"/>
  <c r="AR43" i="5"/>
  <c r="AR40" i="5"/>
  <c r="AS40" i="5" s="1"/>
  <c r="N58" i="5"/>
  <c r="AQ56" i="5"/>
  <c r="N51" i="2"/>
  <c r="N47" i="2"/>
  <c r="N41" i="2"/>
  <c r="N37" i="2"/>
  <c r="N33" i="2"/>
  <c r="N29" i="2"/>
  <c r="N35" i="2"/>
  <c r="N36" i="2"/>
  <c r="N34" i="2"/>
  <c r="N44" i="2"/>
  <c r="N27" i="2"/>
  <c r="N28" i="2"/>
  <c r="N30" i="2"/>
  <c r="N31" i="2"/>
  <c r="N32" i="2"/>
  <c r="N38" i="2"/>
  <c r="N39" i="2"/>
  <c r="N40" i="2"/>
  <c r="N45" i="2"/>
  <c r="N46" i="2"/>
  <c r="N48" i="2"/>
  <c r="N49" i="2"/>
  <c r="N50" i="2"/>
  <c r="N26" i="2"/>
  <c r="BP48" i="2"/>
  <c r="BQ48" i="2"/>
  <c r="BO48" i="2"/>
  <c r="BP44" i="2"/>
  <c r="BQ44" i="2"/>
  <c r="BO44" i="2"/>
  <c r="O44" i="2" s="1"/>
  <c r="BP38" i="2"/>
  <c r="BQ38" i="2"/>
  <c r="BO38" i="2"/>
  <c r="O38" i="2" s="1"/>
  <c r="BP34" i="2"/>
  <c r="BQ34" i="2"/>
  <c r="BO34" i="2"/>
  <c r="BP30" i="2"/>
  <c r="BQ30" i="2"/>
  <c r="BO30" i="2"/>
  <c r="BP26" i="2"/>
  <c r="BQ26" i="2"/>
  <c r="BO26" i="2"/>
  <c r="O26" i="2" s="1"/>
  <c r="N8" i="2"/>
  <c r="N12" i="2"/>
  <c r="N13" i="2"/>
  <c r="N14" i="2" s="1"/>
  <c r="N17" i="2"/>
  <c r="N18" i="2"/>
  <c r="N7" i="2"/>
  <c r="AR45" i="5" l="1"/>
  <c r="AS45" i="5" s="1"/>
  <c r="AS43" i="5"/>
  <c r="O34" i="2"/>
  <c r="O48" i="2"/>
  <c r="O30" i="2"/>
  <c r="N60" i="5"/>
  <c r="AQ58" i="5"/>
  <c r="BP24" i="2"/>
  <c r="BQ24" i="2"/>
  <c r="BO24" i="2"/>
  <c r="N24" i="2"/>
  <c r="AQ60" i="5" l="1"/>
  <c r="Z22" i="6"/>
  <c r="X67" i="6" l="1"/>
  <c r="B22" i="7"/>
  <c r="C22" i="7"/>
  <c r="D22" i="7"/>
  <c r="E22" i="7"/>
  <c r="F22" i="7"/>
  <c r="G22" i="7"/>
  <c r="H22" i="7"/>
  <c r="I22" i="7"/>
  <c r="J22" i="7"/>
  <c r="K22" i="7"/>
  <c r="L22" i="7"/>
  <c r="M22" i="7"/>
  <c r="Y40" i="6"/>
  <c r="Z18" i="6"/>
  <c r="Z23" i="6"/>
  <c r="Z40" i="6" l="1"/>
  <c r="Z15" i="6"/>
  <c r="M10" i="7" l="1"/>
  <c r="M11" i="7"/>
  <c r="M12" i="7"/>
  <c r="M13" i="7"/>
  <c r="M14" i="7"/>
  <c r="M16" i="7"/>
  <c r="M17" i="7"/>
  <c r="M18" i="7"/>
  <c r="M19" i="7"/>
  <c r="M20" i="7"/>
  <c r="M21" i="7"/>
  <c r="M25" i="7"/>
  <c r="M26" i="7"/>
  <c r="M27" i="7"/>
  <c r="M28" i="7"/>
  <c r="M29" i="7"/>
  <c r="M30" i="7"/>
  <c r="M32" i="7"/>
  <c r="M33" i="7"/>
  <c r="M37" i="7"/>
  <c r="M39" i="7"/>
  <c r="M34" i="7"/>
  <c r="M38" i="7"/>
  <c r="M40" i="7"/>
  <c r="M42" i="7"/>
  <c r="M43" i="7"/>
  <c r="M47" i="7"/>
  <c r="M48" i="7"/>
  <c r="M49" i="7"/>
  <c r="M50" i="7"/>
  <c r="M51" i="7"/>
  <c r="M52" i="7"/>
  <c r="M53" i="7"/>
  <c r="M54" i="7"/>
  <c r="M55" i="7"/>
  <c r="M56" i="7"/>
  <c r="M57" i="7"/>
  <c r="M62" i="7"/>
  <c r="M63" i="7"/>
  <c r="M64" i="7"/>
  <c r="M65" i="7"/>
  <c r="M66" i="7"/>
  <c r="M67" i="7"/>
  <c r="M68" i="7"/>
  <c r="M69" i="7"/>
  <c r="M70" i="7"/>
  <c r="M77" i="7"/>
  <c r="M7" i="7"/>
  <c r="M57" i="5"/>
  <c r="M59" i="5"/>
  <c r="M10" i="5"/>
  <c r="M11" i="5"/>
  <c r="M12" i="5"/>
  <c r="M13" i="5"/>
  <c r="M14" i="5"/>
  <c r="M15" i="5"/>
  <c r="M16" i="5"/>
  <c r="M17" i="5"/>
  <c r="M20" i="5"/>
  <c r="M21" i="5"/>
  <c r="M22" i="5"/>
  <c r="M23" i="5"/>
  <c r="M24" i="5"/>
  <c r="M27" i="5"/>
  <c r="M28" i="5"/>
  <c r="M29" i="5"/>
  <c r="M31" i="5"/>
  <c r="M32" i="5"/>
  <c r="M33" i="5"/>
  <c r="M36" i="5"/>
  <c r="M37" i="5"/>
  <c r="M38" i="5"/>
  <c r="M39" i="5"/>
  <c r="M41" i="5"/>
  <c r="M42" i="5"/>
  <c r="M43" i="5"/>
  <c r="M44" i="5"/>
  <c r="M9" i="5"/>
  <c r="X18" i="6"/>
  <c r="M59" i="7" l="1"/>
  <c r="AN31" i="7"/>
  <c r="X68" i="6"/>
  <c r="X53" i="6"/>
  <c r="X40" i="6"/>
  <c r="X23" i="6"/>
  <c r="X15" i="6"/>
  <c r="AN55" i="5"/>
  <c r="M55" i="5" s="1"/>
  <c r="AN54" i="5"/>
  <c r="M54" i="5" s="1"/>
  <c r="AN52" i="5"/>
  <c r="AN45" i="5"/>
  <c r="M45" i="5" s="1"/>
  <c r="AN40" i="5"/>
  <c r="M40" i="5" s="1"/>
  <c r="AN34" i="5"/>
  <c r="AN30" i="5"/>
  <c r="M30" i="5" s="1"/>
  <c r="AN25" i="5"/>
  <c r="M25" i="5" s="1"/>
  <c r="M48" i="1"/>
  <c r="M34" i="1"/>
  <c r="AN35" i="5" l="1"/>
  <c r="M35" i="5" s="1"/>
  <c r="M34" i="5"/>
  <c r="AN56" i="5"/>
  <c r="M52" i="5"/>
  <c r="AN41" i="7"/>
  <c r="M31" i="7"/>
  <c r="L77" i="7"/>
  <c r="L73" i="7"/>
  <c r="L70" i="7"/>
  <c r="L69" i="7"/>
  <c r="L68" i="7"/>
  <c r="L67" i="7"/>
  <c r="L66" i="7"/>
  <c r="L65" i="7"/>
  <c r="L64" i="7"/>
  <c r="L63" i="7"/>
  <c r="L62" i="7"/>
  <c r="L57" i="7"/>
  <c r="L56" i="7"/>
  <c r="L55" i="7"/>
  <c r="L54" i="7"/>
  <c r="L53" i="7"/>
  <c r="L52" i="7"/>
  <c r="L51" i="7"/>
  <c r="L50" i="7"/>
  <c r="L49" i="7"/>
  <c r="L48" i="7"/>
  <c r="L47" i="7"/>
  <c r="L44" i="7"/>
  <c r="L12" i="7"/>
  <c r="L13" i="7"/>
  <c r="L14" i="7"/>
  <c r="L16" i="7"/>
  <c r="L17" i="7"/>
  <c r="L18" i="7"/>
  <c r="L19" i="7"/>
  <c r="L20" i="7"/>
  <c r="L21" i="7"/>
  <c r="L26" i="7"/>
  <c r="L27" i="7"/>
  <c r="L28" i="7"/>
  <c r="L29" i="7"/>
  <c r="L30" i="7"/>
  <c r="L31" i="7"/>
  <c r="L32" i="7"/>
  <c r="L33" i="7"/>
  <c r="L37" i="7"/>
  <c r="L39" i="7"/>
  <c r="L34" i="7"/>
  <c r="L38" i="7"/>
  <c r="L40" i="7"/>
  <c r="L41" i="7"/>
  <c r="L42" i="7"/>
  <c r="L43" i="7"/>
  <c r="L11" i="7"/>
  <c r="L10" i="7"/>
  <c r="L7" i="7"/>
  <c r="L59" i="7" l="1"/>
  <c r="L75" i="7" s="1"/>
  <c r="AN58" i="5"/>
  <c r="M56" i="5"/>
  <c r="AN44" i="7"/>
  <c r="M41" i="7"/>
  <c r="W40" i="6"/>
  <c r="V23" i="6"/>
  <c r="L59" i="5"/>
  <c r="L60" i="5"/>
  <c r="M10" i="1" s="1"/>
  <c r="AM52" i="5"/>
  <c r="AM54" i="5"/>
  <c r="AM55" i="5"/>
  <c r="AL54" i="5"/>
  <c r="AL55" i="5"/>
  <c r="AL57" i="5"/>
  <c r="L7" i="5"/>
  <c r="L8" i="5"/>
  <c r="L9" i="5"/>
  <c r="M7" i="1" s="1"/>
  <c r="L10" i="5"/>
  <c r="L11" i="5"/>
  <c r="L12" i="5"/>
  <c r="L13" i="5"/>
  <c r="L14" i="5"/>
  <c r="L15" i="5"/>
  <c r="L16" i="5"/>
  <c r="L17" i="5"/>
  <c r="M9" i="1" s="1"/>
  <c r="L20" i="5"/>
  <c r="L21" i="5"/>
  <c r="L22" i="5"/>
  <c r="L23" i="5"/>
  <c r="L24" i="5"/>
  <c r="L25" i="5"/>
  <c r="L27" i="5"/>
  <c r="L28" i="5"/>
  <c r="L29" i="5"/>
  <c r="L30" i="5"/>
  <c r="L31" i="5"/>
  <c r="L32" i="5"/>
  <c r="L33" i="5"/>
  <c r="L34" i="5"/>
  <c r="L35" i="5"/>
  <c r="M12" i="1" s="1"/>
  <c r="L36" i="5"/>
  <c r="L37" i="5"/>
  <c r="L38" i="5"/>
  <c r="L39" i="5"/>
  <c r="L40" i="5"/>
  <c r="L41" i="5"/>
  <c r="L42" i="5"/>
  <c r="L43" i="5"/>
  <c r="L44" i="5"/>
  <c r="L45" i="5"/>
  <c r="L6" i="5"/>
  <c r="K6" i="5"/>
  <c r="AN60" i="5" l="1"/>
  <c r="M60" i="5" s="1"/>
  <c r="M58" i="5"/>
  <c r="AN75" i="7"/>
  <c r="M44" i="7"/>
  <c r="M75" i="7" s="1"/>
  <c r="L55" i="5"/>
  <c r="L54" i="5"/>
  <c r="AM56" i="5"/>
  <c r="AM58" i="5" s="1"/>
  <c r="L57" i="5"/>
  <c r="M12" i="2"/>
  <c r="M37" i="1" s="1"/>
  <c r="M50" i="2"/>
  <c r="M46" i="2" l="1"/>
  <c r="M45" i="2"/>
  <c r="M40" i="2"/>
  <c r="M39" i="2"/>
  <c r="M7" i="2"/>
  <c r="M32" i="1" s="1"/>
  <c r="AL52" i="5" l="1"/>
  <c r="V22" i="6"/>
  <c r="V18" i="6" s="1"/>
  <c r="L52" i="5" l="1"/>
  <c r="AL56" i="5"/>
  <c r="BH44" i="2"/>
  <c r="BG44" i="2"/>
  <c r="BF44" i="2"/>
  <c r="BE44" i="2"/>
  <c r="BD44" i="2"/>
  <c r="BC44" i="2"/>
  <c r="L45" i="2"/>
  <c r="L46" i="2"/>
  <c r="M44" i="2" l="1"/>
  <c r="L56" i="5"/>
  <c r="AL58" i="5"/>
  <c r="L58" i="5" s="1"/>
  <c r="M11" i="1" s="1"/>
  <c r="M32" i="2" l="1"/>
  <c r="M31" i="2"/>
  <c r="BH30" i="2"/>
  <c r="BG30" i="2"/>
  <c r="M30" i="2" l="1"/>
  <c r="K77" i="7" l="1"/>
  <c r="J77" i="7"/>
  <c r="I77" i="7"/>
  <c r="H77" i="7"/>
  <c r="G77" i="7"/>
  <c r="F77" i="7"/>
  <c r="E77" i="7"/>
  <c r="D77" i="7"/>
  <c r="C77" i="7"/>
  <c r="B77" i="7"/>
  <c r="K73" i="7"/>
  <c r="J73" i="7"/>
  <c r="I73" i="7"/>
  <c r="H73" i="7"/>
  <c r="G73" i="7"/>
  <c r="F73" i="7"/>
  <c r="E73" i="7"/>
  <c r="D73" i="7"/>
  <c r="C73" i="7"/>
  <c r="B73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E62" i="7"/>
  <c r="D62" i="7"/>
  <c r="C62" i="7"/>
  <c r="B62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4" i="7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8" i="7"/>
  <c r="J38" i="7"/>
  <c r="I38" i="7"/>
  <c r="H38" i="7"/>
  <c r="G38" i="7"/>
  <c r="F38" i="7"/>
  <c r="E38" i="7"/>
  <c r="D38" i="7"/>
  <c r="C38" i="7"/>
  <c r="B38" i="7"/>
  <c r="K34" i="7"/>
  <c r="J34" i="7"/>
  <c r="I34" i="7"/>
  <c r="H34" i="7"/>
  <c r="G34" i="7"/>
  <c r="F34" i="7"/>
  <c r="E34" i="7"/>
  <c r="D34" i="7"/>
  <c r="C34" i="7"/>
  <c r="B34" i="7"/>
  <c r="K39" i="7"/>
  <c r="J39" i="7"/>
  <c r="I39" i="7"/>
  <c r="H39" i="7"/>
  <c r="G39" i="7"/>
  <c r="F39" i="7"/>
  <c r="E39" i="7"/>
  <c r="D39" i="7"/>
  <c r="C39" i="7"/>
  <c r="B39" i="7"/>
  <c r="K37" i="7"/>
  <c r="J37" i="7"/>
  <c r="I37" i="7"/>
  <c r="H37" i="7"/>
  <c r="G37" i="7"/>
  <c r="F37" i="7"/>
  <c r="E37" i="7"/>
  <c r="D37" i="7"/>
  <c r="C37" i="7"/>
  <c r="B37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7" i="7"/>
  <c r="J7" i="7"/>
  <c r="I7" i="7"/>
  <c r="H7" i="7"/>
  <c r="G7" i="7"/>
  <c r="F7" i="7"/>
  <c r="E7" i="7"/>
  <c r="D7" i="7"/>
  <c r="C7" i="7"/>
  <c r="B7" i="7"/>
  <c r="K60" i="5"/>
  <c r="J60" i="5"/>
  <c r="I60" i="5"/>
  <c r="H60" i="5"/>
  <c r="G60" i="5"/>
  <c r="F60" i="5"/>
  <c r="E60" i="5"/>
  <c r="D60" i="5"/>
  <c r="C60" i="5"/>
  <c r="B60" i="5"/>
  <c r="K59" i="5"/>
  <c r="J59" i="5"/>
  <c r="I59" i="5"/>
  <c r="H59" i="5"/>
  <c r="G59" i="5"/>
  <c r="F59" i="5"/>
  <c r="E59" i="5"/>
  <c r="D59" i="5"/>
  <c r="C59" i="5"/>
  <c r="B59" i="5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2" i="5"/>
  <c r="J52" i="5"/>
  <c r="I52" i="5"/>
  <c r="H52" i="5"/>
  <c r="G52" i="5"/>
  <c r="F52" i="5"/>
  <c r="E52" i="5"/>
  <c r="D52" i="5"/>
  <c r="C52" i="5"/>
  <c r="B52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L12" i="1" s="1"/>
  <c r="J35" i="5"/>
  <c r="K12" i="1" s="1"/>
  <c r="I35" i="5"/>
  <c r="J12" i="1" s="1"/>
  <c r="H35" i="5"/>
  <c r="I12" i="1" s="1"/>
  <c r="G35" i="5"/>
  <c r="H12" i="1" s="1"/>
  <c r="F35" i="5"/>
  <c r="G12" i="1" s="1"/>
  <c r="E35" i="5"/>
  <c r="F12" i="1" s="1"/>
  <c r="D35" i="5"/>
  <c r="E12" i="1" s="1"/>
  <c r="C35" i="5"/>
  <c r="D12" i="1" s="1"/>
  <c r="B35" i="5"/>
  <c r="C12" i="1" s="1"/>
  <c r="K34" i="5"/>
  <c r="J34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7" i="5"/>
  <c r="L9" i="1" s="1"/>
  <c r="J17" i="5"/>
  <c r="K9" i="1" s="1"/>
  <c r="I17" i="5"/>
  <c r="J9" i="1" s="1"/>
  <c r="H17" i="5"/>
  <c r="I9" i="1" s="1"/>
  <c r="G17" i="5"/>
  <c r="H9" i="1" s="1"/>
  <c r="F17" i="5"/>
  <c r="G9" i="1" s="1"/>
  <c r="E17" i="5"/>
  <c r="F9" i="1" s="1"/>
  <c r="D17" i="5"/>
  <c r="E9" i="1" s="1"/>
  <c r="C17" i="5"/>
  <c r="D9" i="1" s="1"/>
  <c r="B17" i="5"/>
  <c r="C9" i="1" s="1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L7" i="1" s="1"/>
  <c r="J9" i="5"/>
  <c r="K7" i="1" s="1"/>
  <c r="I9" i="5"/>
  <c r="J7" i="1" s="1"/>
  <c r="H9" i="5"/>
  <c r="I7" i="1" s="1"/>
  <c r="G9" i="5"/>
  <c r="H7" i="1" s="1"/>
  <c r="F9" i="5"/>
  <c r="G7" i="1" s="1"/>
  <c r="E9" i="5"/>
  <c r="F7" i="1" s="1"/>
  <c r="D9" i="5"/>
  <c r="E7" i="1" s="1"/>
  <c r="C9" i="5"/>
  <c r="D7" i="1" s="1"/>
  <c r="B9" i="5"/>
  <c r="C7" i="1" s="1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L50" i="2"/>
  <c r="K50" i="2"/>
  <c r="J50" i="2"/>
  <c r="M49" i="2"/>
  <c r="L49" i="2"/>
  <c r="K49" i="2"/>
  <c r="J49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J48" i="2" s="1"/>
  <c r="I48" i="2"/>
  <c r="K46" i="2"/>
  <c r="J46" i="2"/>
  <c r="K45" i="2"/>
  <c r="J45" i="2"/>
  <c r="BB44" i="2"/>
  <c r="BA44" i="2"/>
  <c r="AZ44" i="2"/>
  <c r="AY44" i="2"/>
  <c r="AX44" i="2"/>
  <c r="AW44" i="2"/>
  <c r="AV44" i="2"/>
  <c r="AU44" i="2"/>
  <c r="I44" i="2"/>
  <c r="H44" i="2"/>
  <c r="G44" i="2"/>
  <c r="F44" i="2"/>
  <c r="E44" i="2"/>
  <c r="D44" i="2"/>
  <c r="C44" i="2"/>
  <c r="L40" i="2"/>
  <c r="K40" i="2"/>
  <c r="J40" i="2"/>
  <c r="L39" i="2"/>
  <c r="K39" i="2"/>
  <c r="J39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I38" i="2"/>
  <c r="H38" i="2"/>
  <c r="G38" i="2"/>
  <c r="F38" i="2"/>
  <c r="E38" i="2"/>
  <c r="D38" i="2"/>
  <c r="L32" i="2"/>
  <c r="K32" i="2"/>
  <c r="J32" i="2"/>
  <c r="L31" i="2"/>
  <c r="K31" i="2"/>
  <c r="J31" i="2"/>
  <c r="BF30" i="2"/>
  <c r="BE30" i="2"/>
  <c r="BD30" i="2"/>
  <c r="BC30" i="2"/>
  <c r="BB30" i="2"/>
  <c r="BA30" i="2"/>
  <c r="AZ30" i="2"/>
  <c r="AY30" i="2"/>
  <c r="J30" i="2"/>
  <c r="I30" i="2"/>
  <c r="H30" i="2"/>
  <c r="G30" i="2"/>
  <c r="F30" i="2"/>
  <c r="E30" i="2"/>
  <c r="M28" i="2"/>
  <c r="L28" i="2"/>
  <c r="K28" i="2"/>
  <c r="J28" i="2"/>
  <c r="M27" i="2"/>
  <c r="L27" i="2"/>
  <c r="K27" i="2"/>
  <c r="J27" i="2"/>
  <c r="BH26" i="2"/>
  <c r="BG26" i="2"/>
  <c r="BF26" i="2"/>
  <c r="BE26" i="2"/>
  <c r="BD26" i="2"/>
  <c r="BC26" i="2"/>
  <c r="BB26" i="2"/>
  <c r="BA26" i="2"/>
  <c r="AZ26" i="2"/>
  <c r="AY26" i="2"/>
  <c r="J26" i="2"/>
  <c r="I26" i="2"/>
  <c r="H26" i="2"/>
  <c r="G26" i="2"/>
  <c r="F26" i="2"/>
  <c r="E26" i="2"/>
  <c r="D26" i="2"/>
  <c r="C26" i="2"/>
  <c r="M18" i="2"/>
  <c r="M43" i="1" s="1"/>
  <c r="L18" i="2"/>
  <c r="K18" i="2"/>
  <c r="J18" i="2"/>
  <c r="I18" i="2"/>
  <c r="M17" i="2"/>
  <c r="M42" i="1" s="1"/>
  <c r="L17" i="2"/>
  <c r="K17" i="2"/>
  <c r="J17" i="2"/>
  <c r="I17" i="2"/>
  <c r="H17" i="2"/>
  <c r="G17" i="2"/>
  <c r="F17" i="2"/>
  <c r="E17" i="2"/>
  <c r="D17" i="2"/>
  <c r="C17" i="2"/>
  <c r="M13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M8" i="2"/>
  <c r="M33" i="1" s="1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D7" i="2"/>
  <c r="C7" i="2"/>
  <c r="B59" i="7" l="1"/>
  <c r="C59" i="7"/>
  <c r="C75" i="7" s="1"/>
  <c r="D59" i="7"/>
  <c r="D75" i="7" s="1"/>
  <c r="E59" i="7"/>
  <c r="E75" i="7" s="1"/>
  <c r="F59" i="7"/>
  <c r="F75" i="7" s="1"/>
  <c r="G59" i="7"/>
  <c r="G75" i="7" s="1"/>
  <c r="B75" i="7"/>
  <c r="H59" i="7"/>
  <c r="H75" i="7" s="1"/>
  <c r="I59" i="7"/>
  <c r="I75" i="7" s="1"/>
  <c r="J59" i="7"/>
  <c r="J75" i="7" s="1"/>
  <c r="K59" i="7"/>
  <c r="K75" i="7" s="1"/>
  <c r="M48" i="2"/>
  <c r="E14" i="2"/>
  <c r="H14" i="2"/>
  <c r="K38" i="2"/>
  <c r="M38" i="2"/>
  <c r="D14" i="2"/>
  <c r="L14" i="2"/>
  <c r="M14" i="2"/>
  <c r="M39" i="1" s="1"/>
  <c r="M38" i="1"/>
  <c r="K48" i="2"/>
  <c r="L48" i="2"/>
  <c r="G14" i="2"/>
  <c r="I14" i="2"/>
  <c r="F14" i="2"/>
  <c r="K26" i="2"/>
  <c r="L26" i="2"/>
  <c r="M26" i="2"/>
  <c r="K14" i="2"/>
  <c r="K30" i="2"/>
  <c r="L30" i="2"/>
  <c r="J38" i="2"/>
  <c r="L38" i="2"/>
  <c r="J14" i="2"/>
  <c r="J44" i="2"/>
  <c r="L44" i="2"/>
  <c r="K44" i="2"/>
  <c r="O70" i="7"/>
  <c r="P70" i="7"/>
  <c r="AS70" i="7"/>
  <c r="AU70" i="7"/>
  <c r="O73" i="7"/>
  <c r="P73" i="7"/>
  <c r="AS73" i="7"/>
  <c r="AU73" i="7"/>
  <c r="O75" i="7"/>
  <c r="P75" i="7"/>
  <c r="AS75" i="7"/>
  <c r="AU75" i="7"/>
  <c r="N36" i="5"/>
  <c r="AQ36" i="5"/>
  <c r="N37" i="5"/>
  <c r="AQ37" i="5"/>
  <c r="N41" i="5"/>
  <c r="AQ41" i="5"/>
  <c r="N42" i="5"/>
  <c r="AQ42" i="5"/>
</calcChain>
</file>

<file path=xl/sharedStrings.xml><?xml version="1.0" encoding="utf-8"?>
<sst xmlns="http://schemas.openxmlformats.org/spreadsheetml/2006/main" count="586" uniqueCount="326">
  <si>
    <t>Overview</t>
  </si>
  <si>
    <t>Back to Contents</t>
  </si>
  <si>
    <t>Unit</t>
  </si>
  <si>
    <t>PROFIT AND LOSS</t>
  </si>
  <si>
    <t>Total Revenue</t>
  </si>
  <si>
    <t>mln RUB</t>
  </si>
  <si>
    <t>Pre-ppa Gross Profit</t>
  </si>
  <si>
    <t>Gross Profit</t>
  </si>
  <si>
    <t>Pre-ppa EBITDA</t>
  </si>
  <si>
    <t>EBITDA</t>
  </si>
  <si>
    <t>Net Profit</t>
  </si>
  <si>
    <t>BALANCE SHEET</t>
  </si>
  <si>
    <t>Total Debt</t>
  </si>
  <si>
    <t>Corporate Debt</t>
  </si>
  <si>
    <t>Project Debt</t>
  </si>
  <si>
    <r>
      <t>Cash and Cash equivalents</t>
    </r>
    <r>
      <rPr>
        <vertAlign val="superscript"/>
        <sz val="10"/>
        <color rgb="FF000000"/>
        <rFont val="Arial"/>
        <family val="2"/>
        <charset val="204"/>
      </rPr>
      <t>(1)</t>
    </r>
  </si>
  <si>
    <t xml:space="preserve">Cash on escrow </t>
  </si>
  <si>
    <t>Net Corporate Debt (Cash)</t>
  </si>
  <si>
    <t>Net Corporate Debt/pre-PPA EBITDA</t>
  </si>
  <si>
    <t>x</t>
  </si>
  <si>
    <t>CASH FLOW</t>
  </si>
  <si>
    <t>Operating Cash Flow less interest paid</t>
  </si>
  <si>
    <t xml:space="preserve">OCF adjusted for escrow cash </t>
  </si>
  <si>
    <t>Free Cash Flow</t>
  </si>
  <si>
    <t xml:space="preserve">FCF adjusted for escrow cash </t>
  </si>
  <si>
    <t xml:space="preserve">Cash collections on escrow </t>
  </si>
  <si>
    <t>SALES &amp; CASH COLLECTIONS</t>
  </si>
  <si>
    <t>New sales</t>
  </si>
  <si>
    <t>Cash collections</t>
  </si>
  <si>
    <t>Average price</t>
  </si>
  <si>
    <t>RUB/sqm</t>
  </si>
  <si>
    <t>NUMBER OF CONTRACTS &amp; MORTGAGE SALES</t>
  </si>
  <si>
    <t xml:space="preserve">Number of contracts </t>
  </si>
  <si>
    <t> </t>
  </si>
  <si>
    <t>Number of mortgage contracts</t>
  </si>
  <si>
    <t>Share of mortgages</t>
  </si>
  <si>
    <t>%</t>
  </si>
  <si>
    <t>SALES &amp; DELIVERIES</t>
  </si>
  <si>
    <t>sqm</t>
  </si>
  <si>
    <t>Deliveries</t>
  </si>
  <si>
    <t>PROJECT PORTFOLIO</t>
  </si>
  <si>
    <t>OMV of Assets</t>
  </si>
  <si>
    <t>OMV of Project portfolio</t>
  </si>
  <si>
    <t>Unsold NSA</t>
  </si>
  <si>
    <t>ths sqm</t>
  </si>
  <si>
    <t>(1) Including bank deposits over 3 months</t>
  </si>
  <si>
    <t>Key Operating Results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</si>
  <si>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</si>
  <si>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</si>
  <si>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</si>
  <si>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</si>
  <si>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</si>
  <si>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</si>
  <si>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</si>
  <si>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</si>
  <si>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</si>
  <si>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</si>
  <si>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</si>
  <si>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</si>
  <si>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</si>
  <si>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</si>
  <si>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</si>
  <si>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</si>
  <si>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</si>
  <si>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</si>
  <si>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</si>
  <si>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</si>
  <si>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</si>
  <si>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</si>
  <si>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</si>
  <si>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</si>
  <si>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</si>
  <si>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</si>
  <si>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</si>
  <si>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4Q 2017</t>
  </si>
  <si>
    <t>1Q 2018</t>
  </si>
  <si>
    <t>2Q 2018</t>
  </si>
  <si>
    <t>3Q 2018</t>
  </si>
  <si>
    <t>4Q 2018</t>
  </si>
  <si>
    <t>1Q 2019</t>
  </si>
  <si>
    <t>2Q 2019</t>
  </si>
  <si>
    <t>3Q 2019</t>
  </si>
  <si>
    <t>4Q 2019</t>
  </si>
  <si>
    <t>1Q 2020</t>
  </si>
  <si>
    <t>2Q 2020</t>
  </si>
  <si>
    <t>3Q 2020</t>
  </si>
  <si>
    <t>4Q 2020</t>
  </si>
  <si>
    <t>1Q 2021</t>
  </si>
  <si>
    <t>2Q 2021</t>
  </si>
  <si>
    <t>3Q 2021</t>
  </si>
  <si>
    <t>4Q 2021</t>
  </si>
  <si>
    <t>NEW SALES &amp; DELIVERIES</t>
  </si>
  <si>
    <t>Moscow</t>
  </si>
  <si>
    <t>Saint-Petersburg</t>
  </si>
  <si>
    <t>-</t>
  </si>
  <si>
    <t>Land Bank Valuation</t>
  </si>
  <si>
    <t>Consolidated Statement of Profit or Loss and Other Comprehensive Income (IFRS)</t>
  </si>
  <si>
    <t>1H 2011</t>
  </si>
  <si>
    <t>2H 2011</t>
  </si>
  <si>
    <t>1H 2012</t>
  </si>
  <si>
    <t>2H 2012</t>
  </si>
  <si>
    <t>1H 2013</t>
  </si>
  <si>
    <t>2H 2013</t>
  </si>
  <si>
    <t>1H 2014</t>
  </si>
  <si>
    <t>2H 2014</t>
  </si>
  <si>
    <t>1H 2015</t>
  </si>
  <si>
    <t>2H 2015</t>
  </si>
  <si>
    <t>1H 2016</t>
  </si>
  <si>
    <t>2H 2016</t>
  </si>
  <si>
    <t>1H 2017</t>
  </si>
  <si>
    <t>2H 2017</t>
  </si>
  <si>
    <t>1H 2018</t>
  </si>
  <si>
    <t>2H 2018</t>
  </si>
  <si>
    <t>1H 2019</t>
  </si>
  <si>
    <t>2H 2019</t>
  </si>
  <si>
    <t>1H 2020</t>
  </si>
  <si>
    <t>2H 2020</t>
  </si>
  <si>
    <t>Revenue from sale of real estate accounted for at historical cost</t>
  </si>
  <si>
    <t>Revenue from sale of real estate acquired through business combinations and recognised at fair value at initial recognition</t>
  </si>
  <si>
    <t>Other revenue</t>
  </si>
  <si>
    <t>Revenue</t>
  </si>
  <si>
    <t>Cost of sales of real estate accounted for at historical cost</t>
  </si>
  <si>
    <t>Cost of sales of real estate acquired through business combinations and recognised at fair value at initial recognition</t>
  </si>
  <si>
    <t>Other cost of sales</t>
  </si>
  <si>
    <t>Cost of sales</t>
  </si>
  <si>
    <t>Gross profit from sales of real estate accounted for at historical cost</t>
  </si>
  <si>
    <t>Gross profit from sales of real estate acquired through business combinations and recognised at fair value at initial recognition</t>
  </si>
  <si>
    <t>Gross profit from other sales</t>
  </si>
  <si>
    <t>Gross profit</t>
  </si>
  <si>
    <t>General and administrative expenses</t>
  </si>
  <si>
    <t>Selling expenses</t>
  </si>
  <si>
    <t>Impairment loss on trade and other receivables</t>
  </si>
  <si>
    <t>Gain from bargain purchase</t>
  </si>
  <si>
    <t>Other expenses, net</t>
  </si>
  <si>
    <t>Results from operating activities</t>
  </si>
  <si>
    <t>Finance income – interest revenue</t>
  </si>
  <si>
    <t>Finance income - other</t>
  </si>
  <si>
    <t>Finance costs</t>
  </si>
  <si>
    <t>Net finance costs</t>
  </si>
  <si>
    <t>Share of profit of equity accounted investees (net of income tax)</t>
  </si>
  <si>
    <t>Profit before income tax</t>
  </si>
  <si>
    <t>Income tax expense</t>
  </si>
  <si>
    <t>Profit for the year</t>
  </si>
  <si>
    <t>Total comprehensive income for the year</t>
  </si>
  <si>
    <t>Profit attributable to:</t>
  </si>
  <si>
    <t>Owners of the Company</t>
  </si>
  <si>
    <t>Non-controlling interest</t>
  </si>
  <si>
    <t>Total comprehensive income attributable to:</t>
  </si>
  <si>
    <t>Depreciation</t>
  </si>
  <si>
    <t>PrePPA EBITDA</t>
  </si>
  <si>
    <t>Less: General and administrative expenses</t>
  </si>
  <si>
    <t>Less: Selling expenses</t>
  </si>
  <si>
    <t>Adjusted operating profit</t>
  </si>
  <si>
    <t>Add: Depreciation and amortisation</t>
  </si>
  <si>
    <t>Add: PPA in cost of sales</t>
  </si>
  <si>
    <t>Consolidated Statement of Financial Position (IFRS)</t>
  </si>
  <si>
    <t>ASSETS</t>
  </si>
  <si>
    <t>Non-current assets</t>
  </si>
  <si>
    <t>Property, plant and equipment</t>
  </si>
  <si>
    <t>Investment property</t>
  </si>
  <si>
    <t>Other long-term investments</t>
  </si>
  <si>
    <t>Trade and other receivables</t>
  </si>
  <si>
    <t>Deferred tax assets</t>
  </si>
  <si>
    <t>Other non-current assets</t>
  </si>
  <si>
    <t>Total non-current assets</t>
  </si>
  <si>
    <t>Current assets</t>
  </si>
  <si>
    <t>Inventories:</t>
  </si>
  <si>
    <t>Inventories under construction and development</t>
  </si>
  <si>
    <t>Inventories - finished goods</t>
  </si>
  <si>
    <t>Other inventories</t>
  </si>
  <si>
    <t>Less: Allowance for obsolete inventories*</t>
  </si>
  <si>
    <t>Contract assets, trade and other receivables:</t>
  </si>
  <si>
    <t>Advances paid to suppliers</t>
  </si>
  <si>
    <t>Contract assets</t>
  </si>
  <si>
    <t>Trade receivables</t>
  </si>
  <si>
    <t>Other receivables</t>
  </si>
  <si>
    <t>Costs to obtain contracts</t>
  </si>
  <si>
    <t>Short-term investments</t>
  </si>
  <si>
    <t>Cash and cash equivalents</t>
  </si>
  <si>
    <t>Other current assets</t>
  </si>
  <si>
    <t>Total current assets</t>
  </si>
  <si>
    <t>Assets held for sale</t>
  </si>
  <si>
    <t>TOTAL ASSETS</t>
  </si>
  <si>
    <t>EQUITY AND LIABILITIES</t>
  </si>
  <si>
    <t>Equity</t>
  </si>
  <si>
    <t>Share capital:</t>
  </si>
  <si>
    <t>Share capital</t>
  </si>
  <si>
    <t>Share premium</t>
  </si>
  <si>
    <t>Reserve for own shares</t>
  </si>
  <si>
    <t>Share options reserve</t>
  </si>
  <si>
    <t>Retained earnings</t>
  </si>
  <si>
    <t>Total equity attributable to equity holders of the Company</t>
  </si>
  <si>
    <t>Total equity</t>
  </si>
  <si>
    <t>Non-current liabilities</t>
  </si>
  <si>
    <t>Loans and borrowings</t>
  </si>
  <si>
    <t>Contract liabilities, trade and other рауаblеs</t>
  </si>
  <si>
    <t>Trade and other payables</t>
  </si>
  <si>
    <t>Contract liabilities</t>
  </si>
  <si>
    <t>Provisions</t>
  </si>
  <si>
    <t>Deferred tax liabilities</t>
  </si>
  <si>
    <t>Total non-current liabilities</t>
  </si>
  <si>
    <t>Current liabllities</t>
  </si>
  <si>
    <t>Trade and other рауаblеs</t>
  </si>
  <si>
    <t>Total current liabilities</t>
  </si>
  <si>
    <t>TOTAL EQUITY AND LIABILITIES</t>
  </si>
  <si>
    <t>Consolidated Statement of Cash Flows (IFRS)</t>
  </si>
  <si>
    <t>OPERATING ACTIVITIES</t>
  </si>
  <si>
    <t>Adjustments for:</t>
  </si>
  <si>
    <t>Gain on disposal of property, plant and equipment</t>
  </si>
  <si>
    <t>Gain on disposal of investment property</t>
  </si>
  <si>
    <t>Loss on disposal of inventories under construction and development</t>
  </si>
  <si>
    <t>Impairment loss on investment property</t>
  </si>
  <si>
    <t>Impairment loss on inventories</t>
  </si>
  <si>
    <t>Impairment loss on trade and other receivables, advances paid to suppliers and investments</t>
  </si>
  <si>
    <t>Equity-settled share-based payment transactions</t>
  </si>
  <si>
    <t>Gain on disposal of other investsments</t>
  </si>
  <si>
    <t>Significant financing component from contracts with customers recognised in revenue</t>
  </si>
  <si>
    <t>Savings on escrow-backed loans recognised in revenue</t>
  </si>
  <si>
    <t>Finance costs/(income), net</t>
  </si>
  <si>
    <t>Cash from operating activities before changes in working capital and provisions</t>
  </si>
  <si>
    <t>Change in inventories</t>
  </si>
  <si>
    <t>Change in accounts receivable</t>
  </si>
  <si>
    <t>Change in accounts payable</t>
  </si>
  <si>
    <t>Change in provisions</t>
  </si>
  <si>
    <t>Change in contract assets</t>
  </si>
  <si>
    <t>Change in contract liabilities</t>
  </si>
  <si>
    <t>Change in other current assets</t>
  </si>
  <si>
    <t>Cash generated from operating activities</t>
  </si>
  <si>
    <t>Income tax paid</t>
  </si>
  <si>
    <t>Interest paid</t>
  </si>
  <si>
    <t>Net cash (used in)/from operating activities</t>
  </si>
  <si>
    <t>INVESTING ACTIVITIES</t>
  </si>
  <si>
    <t>Proceeds from disposal of property, plant and equipment</t>
  </si>
  <si>
    <t>Proceeds from disposal of investment property</t>
  </si>
  <si>
    <t>Interest received</t>
  </si>
  <si>
    <t>Acquisition of property, plant and equipment</t>
  </si>
  <si>
    <t>Loans given</t>
  </si>
  <si>
    <t>Loans repaid</t>
  </si>
  <si>
    <t>Disposal of subsidiaries, net of cash disposed of</t>
  </si>
  <si>
    <t>Acquisition of subsidiaries, net of cash acquired</t>
  </si>
  <si>
    <t>Acquisition of other investments</t>
  </si>
  <si>
    <t>Disposal of other investments</t>
  </si>
  <si>
    <t>Net cash from/(used in) investing activities</t>
  </si>
  <si>
    <t>FINANCING ACTIVITIES</t>
  </si>
  <si>
    <t>Proceeds from IPO</t>
  </si>
  <si>
    <t>Proceeds from issue of share capital</t>
  </si>
  <si>
    <t>Proceeds from borrowings</t>
  </si>
  <si>
    <t>Repayments of borrowings</t>
  </si>
  <si>
    <t>Acquisition of non-controlling interest</t>
  </si>
  <si>
    <t>Disposal of non-controlling interest</t>
  </si>
  <si>
    <t>Acquisition of own shares</t>
  </si>
  <si>
    <t>Payments for lease liabilities, excluding interest</t>
  </si>
  <si>
    <t>Dividends paid</t>
  </si>
  <si>
    <t>Net cash (used in)/from financing activities</t>
  </si>
  <si>
    <t>Net (decrease)/increase in cash and cash equivalents</t>
  </si>
  <si>
    <t>Cash and cash equivalents at the beginning of the year</t>
  </si>
  <si>
    <t>Effect of exchange rate fluctuations</t>
  </si>
  <si>
    <t>Cash and cash equivalents at the end of the year</t>
  </si>
  <si>
    <t>Investor Relations</t>
  </si>
  <si>
    <t xml:space="preserve">ir@etalongroup.com </t>
  </si>
  <si>
    <t>CONTENTS</t>
  </si>
  <si>
    <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</si>
  <si>
    <t>&gt;&gt;</t>
  </si>
  <si>
    <t>Operating Results</t>
  </si>
  <si>
    <t xml:space="preserve">Key Operating Results </t>
  </si>
  <si>
    <t>Estimated Sale Prices by Project</t>
  </si>
  <si>
    <t>EBITDA calculation</t>
  </si>
  <si>
    <t>Financial Statements (IFRS)</t>
  </si>
  <si>
    <t>Consolidated Statement of Financial Position</t>
  </si>
  <si>
    <t>Consolidated Statement of Profit or Loss and Other Comprehensive Income</t>
  </si>
  <si>
    <t xml:space="preserve">Consolidated Statement of Cash Flows </t>
  </si>
  <si>
    <t>Key Operating Results by Region</t>
  </si>
  <si>
    <t>1H 2021</t>
  </si>
  <si>
    <t>(Gain)/loss on disposal of subsidiaries</t>
  </si>
  <si>
    <t>2H 2021</t>
  </si>
  <si>
    <t>Share of loss of equity accounted investees</t>
  </si>
  <si>
    <t>1Q 2022</t>
  </si>
  <si>
    <t>2Q 2022</t>
  </si>
  <si>
    <t>Regions</t>
  </si>
  <si>
    <t xml:space="preserve"> 30.06.2022</t>
  </si>
  <si>
    <t>1H 2022</t>
  </si>
  <si>
    <t>Intangible assets</t>
  </si>
  <si>
    <t>Acquisition of investment in associates and joint ventures</t>
  </si>
  <si>
    <t>3Q 2022</t>
  </si>
  <si>
    <t>4Q 2022</t>
  </si>
  <si>
    <t>2H 2022</t>
  </si>
  <si>
    <t>Gain on disposal of associate</t>
  </si>
  <si>
    <t>1H 2023</t>
  </si>
  <si>
    <t xml:space="preserve"> 30.06.2023</t>
  </si>
  <si>
    <t>Cost of social infrastructure facilities within the implemented projects</t>
  </si>
  <si>
    <t>1Q 2023</t>
  </si>
  <si>
    <t>2Q 2023</t>
  </si>
  <si>
    <t>3Q 2023</t>
  </si>
  <si>
    <t>4Q 2023</t>
  </si>
  <si>
    <t>Repayment of project financing — Funds released from escrow</t>
  </si>
  <si>
    <t>2H 2023</t>
  </si>
  <si>
    <t xml:space="preserve"> 31.12.2023</t>
  </si>
  <si>
    <t>Less: Allowance for doubtful accounts receivable*</t>
  </si>
  <si>
    <t>Income tax payable</t>
  </si>
  <si>
    <t>n/a</t>
  </si>
  <si>
    <t>1Q 2024</t>
  </si>
  <si>
    <t>2Q 2024</t>
  </si>
  <si>
    <t>1H 2024</t>
  </si>
  <si>
    <t xml:space="preserve"> 30.06.2024</t>
  </si>
  <si>
    <t>3Q 2024</t>
  </si>
  <si>
    <t>4Q 2024</t>
  </si>
  <si>
    <t>2H 2024</t>
  </si>
  <si>
    <t>Future interest savings on concluded project finance agreements using escrow accounts</t>
  </si>
  <si>
    <t>Unearned revenue</t>
  </si>
  <si>
    <t>Loss on intangible asset disposal</t>
  </si>
  <si>
    <t>Income on accounts payable write-off</t>
  </si>
  <si>
    <t>Change in contract costs</t>
  </si>
  <si>
    <t>Change in future interest savings on concluded project finance agreements using escrow accounts</t>
  </si>
  <si>
    <t>1Q 2025</t>
  </si>
  <si>
    <t>2Q 2025</t>
  </si>
  <si>
    <t>1Н 2025</t>
  </si>
  <si>
    <t xml:space="preserve"> 30.06.2025</t>
  </si>
  <si>
    <t>Revaluation of the provision for impairment of advances issued</t>
  </si>
  <si>
    <t>3Q 2025</t>
  </si>
  <si>
    <t>4Q2025</t>
  </si>
  <si>
    <t>2H 2025</t>
  </si>
  <si>
    <t>Income from the sale of investment property</t>
  </si>
  <si>
    <t xml:space="preserve">Cash received on disposal of subsidiaries less cash disposed </t>
  </si>
  <si>
    <t>Cash from a business merger under common control</t>
  </si>
  <si>
    <t>Proceeds from sale and leaseback of fixed assets</t>
  </si>
  <si>
    <t>1Q2026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</si>
</sst>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;\ \(#,##0\)"/>
    <numFmt numFmtId="166" formatCode="#,##0.00;\ \(#,##0.00\)"/>
    <numFmt numFmtId="167" formatCode="#,##0;\ \(#,##0\);\ \-"/>
    <numFmt numFmtId="168" formatCode="#,##0.00;\-#,##0.00;0.00"/>
    <numFmt numFmtId="170" formatCode="#,##0.0"/>
    <numFmt numFmtId="173" formatCode="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206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0"/>
      <color rgb="FF00B0F0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2"/>
      <color rgb="FF606F80"/>
      <name val="Arial"/>
      <family val="2"/>
      <charset val="204"/>
    </font>
    <font>
      <b/>
      <sz val="24"/>
      <color rgb="FF00B0F0"/>
      <name val="Arial"/>
      <family val="2"/>
      <charset val="204"/>
    </font>
    <font>
      <sz val="16"/>
      <color rgb="FFFFFF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8"/>
      <color rgb="FF002060"/>
      <name val="Arial"/>
      <family val="2"/>
      <charset val="204"/>
    </font>
    <font>
      <u/>
      <sz val="14"/>
      <color rgb="FF002060"/>
      <name val="Arial"/>
      <family val="2"/>
      <charset val="204"/>
    </font>
    <font>
      <sz val="12"/>
      <color rgb="FF606F80"/>
      <name val="Arial"/>
      <family val="2"/>
      <charset val="204"/>
    </font>
    <font>
      <u/>
      <sz val="14"/>
      <color rgb="FF606F80"/>
      <name val="Arial"/>
      <family val="2"/>
      <charset val="204"/>
    </font>
    <font>
      <sz val="10"/>
      <name val="Arial Cyr"/>
    </font>
    <font>
      <sz val="8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168" fontId="32" fillId="0" borderId="0" applyFill="0" applyBorder="0" applyProtection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5" fillId="0" borderId="0" xfId="2" applyFont="1"/>
    <xf numFmtId="0" fontId="6" fillId="0" borderId="0" xfId="1" applyFont="1"/>
    <xf numFmtId="0" fontId="7" fillId="0" borderId="1" xfId="2" applyFont="1" applyBorder="1"/>
    <xf numFmtId="0" fontId="8" fillId="0" borderId="1" xfId="2" applyFont="1" applyBorder="1" applyAlignment="1">
      <alignment horizontal="center"/>
    </xf>
    <xf numFmtId="0" fontId="9" fillId="0" borderId="0" xfId="3" applyFont="1" applyAlignment="1">
      <alignment wrapText="1"/>
    </xf>
    <xf numFmtId="0" fontId="10" fillId="0" borderId="0" xfId="0" applyFont="1"/>
    <xf numFmtId="4" fontId="11" fillId="0" borderId="0" xfId="2" applyNumberFormat="1" applyFont="1"/>
    <xf numFmtId="165" fontId="7" fillId="0" borderId="0" xfId="2" applyNumberFormat="1" applyFont="1"/>
    <xf numFmtId="0" fontId="7" fillId="0" borderId="0" xfId="2" applyFont="1"/>
    <xf numFmtId="4" fontId="7" fillId="0" borderId="0" xfId="2" applyNumberFormat="1" applyFont="1"/>
    <xf numFmtId="0" fontId="8" fillId="0" borderId="0" xfId="2" applyFont="1" applyAlignment="1">
      <alignment horizontal="center"/>
    </xf>
    <xf numFmtId="166" fontId="7" fillId="0" borderId="0" xfId="2" applyNumberFormat="1" applyFont="1"/>
    <xf numFmtId="0" fontId="9" fillId="0" borderId="0" xfId="2" applyFont="1"/>
    <xf numFmtId="3" fontId="7" fillId="0" borderId="0" xfId="2" applyNumberFormat="1" applyFont="1"/>
    <xf numFmtId="0" fontId="7" fillId="0" borderId="2" xfId="2" applyFont="1" applyBorder="1"/>
    <xf numFmtId="4" fontId="11" fillId="0" borderId="2" xfId="2" applyNumberFormat="1" applyFont="1" applyBorder="1"/>
    <xf numFmtId="3" fontId="7" fillId="0" borderId="2" xfId="2" applyNumberFormat="1" applyFont="1" applyBorder="1"/>
    <xf numFmtId="0" fontId="11" fillId="0" borderId="0" xfId="2" applyFont="1"/>
    <xf numFmtId="0" fontId="13" fillId="0" borderId="1" xfId="2" applyFont="1" applyBorder="1" applyAlignment="1">
      <alignment horizontal="center" vertical="center"/>
    </xf>
    <xf numFmtId="167" fontId="7" fillId="0" borderId="0" xfId="2" applyNumberFormat="1" applyFont="1"/>
    <xf numFmtId="167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indent="3"/>
    </xf>
    <xf numFmtId="0" fontId="7" fillId="0" borderId="3" xfId="2" applyFont="1" applyBorder="1"/>
    <xf numFmtId="4" fontId="11" fillId="0" borderId="3" xfId="2" applyNumberFormat="1" applyFont="1" applyBorder="1"/>
    <xf numFmtId="167" fontId="7" fillId="0" borderId="3" xfId="2" applyNumberFormat="1" applyFont="1" applyBorder="1" applyAlignment="1">
      <alignment horizontal="right" vertical="center"/>
    </xf>
    <xf numFmtId="167" fontId="7" fillId="0" borderId="3" xfId="2" applyNumberFormat="1" applyFont="1" applyBorder="1"/>
    <xf numFmtId="0" fontId="8" fillId="0" borderId="0" xfId="2" applyFont="1"/>
    <xf numFmtId="167" fontId="8" fillId="0" borderId="0" xfId="2" applyNumberFormat="1" applyFont="1" applyAlignment="1">
      <alignment horizontal="right" vertical="center"/>
    </xf>
    <xf numFmtId="167" fontId="8" fillId="0" borderId="0" xfId="2" applyNumberFormat="1" applyFont="1"/>
    <xf numFmtId="167" fontId="8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9" fillId="0" borderId="4" xfId="0" applyFont="1" applyBorder="1"/>
    <xf numFmtId="167" fontId="10" fillId="0" borderId="0" xfId="0" applyNumberFormat="1" applyFont="1"/>
    <xf numFmtId="0" fontId="6" fillId="0" borderId="0" xfId="1" applyFont="1" applyFill="1"/>
    <xf numFmtId="0" fontId="18" fillId="0" borderId="1" xfId="0" applyFont="1" applyBorder="1" applyAlignment="1">
      <alignment horizontal="left" vertical="center"/>
    </xf>
    <xf numFmtId="49" fontId="8" fillId="0" borderId="0" xfId="0" applyNumberFormat="1" applyFont="1" applyAlignment="1">
      <alignment vertical="top" wrapText="1"/>
    </xf>
    <xf numFmtId="0" fontId="9" fillId="0" borderId="1" xfId="0" applyFont="1" applyBorder="1"/>
    <xf numFmtId="0" fontId="21" fillId="0" borderId="0" xfId="0" applyFont="1"/>
    <xf numFmtId="0" fontId="17" fillId="0" borderId="0" xfId="0" applyFont="1"/>
    <xf numFmtId="0" fontId="20" fillId="0" borderId="0" xfId="0" applyFont="1"/>
    <xf numFmtId="49" fontId="22" fillId="0" borderId="2" xfId="0" applyNumberFormat="1" applyFont="1" applyBorder="1" applyAlignment="1">
      <alignment vertical="top" wrapText="1"/>
    </xf>
    <xf numFmtId="0" fontId="18" fillId="0" borderId="4" xfId="0" applyFont="1" applyBorder="1"/>
    <xf numFmtId="49" fontId="22" fillId="0" borderId="0" xfId="0" applyNumberFormat="1" applyFont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6" xfId="0" applyFont="1" applyBorder="1"/>
    <xf numFmtId="49" fontId="8" fillId="0" borderId="2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22" fillId="0" borderId="0" xfId="3" applyFont="1" applyAlignment="1">
      <alignment wrapText="1"/>
    </xf>
    <xf numFmtId="0" fontId="9" fillId="0" borderId="1" xfId="3" applyFont="1" applyBorder="1" applyAlignment="1">
      <alignment wrapText="1"/>
    </xf>
    <xf numFmtId="0" fontId="14" fillId="0" borderId="0" xfId="3" applyFont="1" applyAlignment="1">
      <alignment wrapText="1"/>
    </xf>
    <xf numFmtId="0" fontId="15" fillId="0" borderId="0" xfId="3" applyFont="1" applyAlignment="1">
      <alignment wrapText="1"/>
    </xf>
    <xf numFmtId="0" fontId="5" fillId="0" borderId="0" xfId="0" applyFont="1"/>
    <xf numFmtId="0" fontId="24" fillId="0" borderId="0" xfId="1" applyFont="1"/>
    <xf numFmtId="0" fontId="25" fillId="0" borderId="0" xfId="0" applyFont="1"/>
    <xf numFmtId="0" fontId="26" fillId="0" borderId="0" xfId="0" applyFont="1" applyAlignment="1">
      <alignment horizontal="left" vertical="center"/>
    </xf>
    <xf numFmtId="0" fontId="29" fillId="2" borderId="0" xfId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2" borderId="0" xfId="1" applyFont="1" applyFill="1" applyBorder="1" applyAlignment="1">
      <alignment horizontal="right" vertical="center"/>
    </xf>
    <xf numFmtId="0" fontId="28" fillId="0" borderId="0" xfId="0" applyFont="1"/>
    <xf numFmtId="167" fontId="9" fillId="0" borderId="4" xfId="0" applyNumberFormat="1" applyFont="1" applyBorder="1"/>
    <xf numFmtId="0" fontId="10" fillId="0" borderId="0" xfId="0" applyFont="1" applyAlignment="1">
      <alignment horizontal="left" indent="1"/>
    </xf>
    <xf numFmtId="165" fontId="7" fillId="0" borderId="0" xfId="2" applyNumberFormat="1" applyFont="1" applyFill="1"/>
    <xf numFmtId="167" fontId="7" fillId="0" borderId="0" xfId="2" applyNumberFormat="1" applyFont="1" applyFill="1"/>
    <xf numFmtId="167" fontId="8" fillId="0" borderId="0" xfId="2" applyNumberFormat="1" applyFont="1" applyFill="1"/>
    <xf numFmtId="167" fontId="7" fillId="0" borderId="2" xfId="2" applyNumberFormat="1" applyFont="1" applyBorder="1" applyAlignment="1">
      <alignment horizontal="right" vertical="center"/>
    </xf>
    <xf numFmtId="0" fontId="13" fillId="0" borderId="0" xfId="2" applyFont="1"/>
    <xf numFmtId="0" fontId="34" fillId="0" borderId="0" xfId="1" applyFont="1"/>
    <xf numFmtId="165" fontId="10" fillId="0" borderId="0" xfId="0" applyNumberFormat="1" applyFont="1"/>
    <xf numFmtId="2" fontId="10" fillId="0" borderId="0" xfId="0" applyNumberFormat="1" applyFont="1"/>
    <xf numFmtId="1" fontId="10" fillId="0" borderId="0" xfId="0" applyNumberFormat="1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7" fontId="17" fillId="0" borderId="0" xfId="0" applyNumberFormat="1" applyFont="1"/>
    <xf numFmtId="167" fontId="9" fillId="0" borderId="1" xfId="0" applyNumberFormat="1" applyFont="1" applyBorder="1"/>
    <xf numFmtId="167" fontId="35" fillId="0" borderId="4" xfId="0" applyNumberFormat="1" applyFont="1" applyBorder="1"/>
    <xf numFmtId="167" fontId="10" fillId="0" borderId="4" xfId="0" applyNumberFormat="1" applyFont="1" applyBorder="1"/>
    <xf numFmtId="167" fontId="10" fillId="0" borderId="2" xfId="0" applyNumberFormat="1" applyFont="1" applyBorder="1"/>
    <xf numFmtId="167" fontId="10" fillId="0" borderId="5" xfId="0" applyNumberFormat="1" applyFont="1" applyBorder="1"/>
    <xf numFmtId="0" fontId="10" fillId="0" borderId="0" xfId="0" quotePrefix="1" applyFont="1"/>
    <xf numFmtId="0" fontId="10" fillId="0" borderId="4" xfId="0" applyFont="1" applyBorder="1"/>
    <xf numFmtId="167" fontId="17" fillId="0" borderId="0" xfId="0" quotePrefix="1" applyNumberFormat="1" applyFont="1"/>
    <xf numFmtId="167" fontId="10" fillId="0" borderId="0" xfId="0" quotePrefix="1" applyNumberFormat="1" applyFont="1"/>
    <xf numFmtId="167" fontId="9" fillId="0" borderId="4" xfId="0" quotePrefix="1" applyNumberFormat="1" applyFont="1" applyBorder="1"/>
    <xf numFmtId="3" fontId="10" fillId="0" borderId="4" xfId="0" applyNumberFormat="1" applyFont="1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4" xfId="0" quotePrefix="1" applyFont="1" applyBorder="1"/>
    <xf numFmtId="14" fontId="17" fillId="0" borderId="1" xfId="0" applyNumberFormat="1" applyFont="1" applyBorder="1" applyAlignment="1">
      <alignment horizontal="center"/>
    </xf>
    <xf numFmtId="14" fontId="17" fillId="0" borderId="4" xfId="0" applyNumberFormat="1" applyFont="1" applyBorder="1"/>
    <xf numFmtId="167" fontId="16" fillId="0" borderId="0" xfId="0" applyNumberFormat="1" applyFont="1"/>
    <xf numFmtId="167" fontId="10" fillId="0" borderId="6" xfId="0" applyNumberFormat="1" applyFont="1" applyBorder="1"/>
    <xf numFmtId="0" fontId="10" fillId="0" borderId="5" xfId="0" applyFont="1" applyBorder="1"/>
    <xf numFmtId="167" fontId="10" fillId="0" borderId="0" xfId="0" applyNumberFormat="1" applyFont="1" applyFill="1"/>
    <xf numFmtId="167" fontId="17" fillId="0" borderId="2" xfId="0" applyNumberFormat="1" applyFont="1" applyBorder="1"/>
    <xf numFmtId="3" fontId="35" fillId="0" borderId="4" xfId="0" applyNumberFormat="1" applyFont="1" applyBorder="1"/>
    <xf numFmtId="167" fontId="18" fillId="0" borderId="0" xfId="0" applyNumberFormat="1" applyFont="1"/>
    <xf numFmtId="0" fontId="18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167" fontId="17" fillId="0" borderId="1" xfId="0" applyNumberFormat="1" applyFont="1" applyBorder="1"/>
    <xf numFmtId="167" fontId="17" fillId="0" borderId="4" xfId="0" applyNumberFormat="1" applyFont="1" applyBorder="1"/>
    <xf numFmtId="4" fontId="11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3" fontId="10" fillId="0" borderId="0" xfId="0" applyNumberFormat="1" applyFont="1"/>
    <xf numFmtId="4" fontId="10" fillId="0" borderId="0" xfId="0" applyNumberFormat="1" applyFont="1"/>
    <xf numFmtId="167" fontId="10" fillId="0" borderId="0" xfId="0" applyNumberFormat="1" applyFont="1" applyAlignment="1">
      <alignment horizontal="right" vertical="center"/>
    </xf>
    <xf numFmtId="167" fontId="7" fillId="0" borderId="2" xfId="2" applyNumberFormat="1" applyFont="1" applyBorder="1"/>
    <xf numFmtId="0" fontId="7" fillId="0" borderId="3" xfId="2" applyFont="1" applyBorder="1" applyAlignment="1">
      <alignment horizontal="left" indent="1"/>
    </xf>
    <xf numFmtId="170" fontId="7" fillId="0" borderId="0" xfId="2" applyNumberFormat="1" applyFont="1"/>
    <xf numFmtId="173" fontId="7" fillId="0" borderId="0" xfId="2" applyNumberFormat="1" applyFont="1"/>
    <xf numFmtId="167" fontId="17" fillId="0" borderId="0" xfId="0" applyNumberFormat="1" applyFont="1" applyFill="1"/>
    <xf numFmtId="167" fontId="16" fillId="0" borderId="0" xfId="0" applyNumberFormat="1" applyFont="1" applyFill="1"/>
    <xf numFmtId="167" fontId="9" fillId="0" borderId="4" xfId="0" applyNumberFormat="1" applyFont="1" applyFill="1" applyBorder="1"/>
    <xf numFmtId="167" fontId="10" fillId="2" borderId="0" xfId="0" applyNumberFormat="1" applyFont="1" applyFill="1"/>
  </cellXfs>
  <cellStyles count="12">
    <cellStyle name="Comma 2" xfId="11" xr:uid="{03A2548B-7BF7-4CB3-A6E5-B7EBED45ABD6}"/>
    <cellStyle name="Comma 6 2" xfId="8" xr:uid="{DAA23223-DC0F-49E8-862F-12BDEF3EB622}"/>
    <cellStyle name="Normal 2" xfId="4" xr:uid="{FEF32F40-A197-4909-ABE4-64BD5A2704D2}"/>
    <cellStyle name="Normal 5" xfId="6" xr:uid="{6181AAE9-80E6-4A0E-8692-1FA2075F0A72}"/>
    <cellStyle name="Normal 7" xfId="5" xr:uid="{57AE17CA-9356-401A-8F62-50C613263EF9}"/>
    <cellStyle name="Normal 7 2" xfId="9" xr:uid="{FC1E83FB-B319-4206-8EB4-900FE1DA8107}"/>
    <cellStyle name="Гиперссылка" xfId="1" builtinId="8"/>
    <cellStyle name="Обычный" xfId="0" builtinId="0"/>
    <cellStyle name="Обычный 15" xfId="10" xr:uid="{38CAB6B2-C467-462D-9836-42C3E888C722}"/>
    <cellStyle name="Обычный 157" xfId="3" xr:uid="{854B22F1-43DE-4456-B6E9-318655237C27}"/>
    <cellStyle name="Обычный 2" xfId="2" xr:uid="{730016FE-BC5E-4CB5-84B9-438169B02112}"/>
    <cellStyle name="Обычный 2 2" xfId="7" xr:uid="{7C18B081-6BF1-452E-B996-6C8F9C9CD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8.xml"/><Relationship Id="rId138" Type="http://schemas.openxmlformats.org/officeDocument/2006/relationships/externalLink" Target="externalLinks/externalLink132.xml"/><Relationship Id="rId159" Type="http://schemas.openxmlformats.org/officeDocument/2006/relationships/externalLink" Target="externalLinks/externalLink153.xml"/><Relationship Id="rId170" Type="http://schemas.openxmlformats.org/officeDocument/2006/relationships/externalLink" Target="externalLinks/externalLink164.xml"/><Relationship Id="rId191" Type="http://schemas.openxmlformats.org/officeDocument/2006/relationships/externalLink" Target="externalLinks/externalLink185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8.xml"/><Relationship Id="rId128" Type="http://schemas.openxmlformats.org/officeDocument/2006/relationships/externalLink" Target="externalLinks/externalLink122.xml"/><Relationship Id="rId149" Type="http://schemas.openxmlformats.org/officeDocument/2006/relationships/externalLink" Target="externalLinks/externalLink14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9.xml"/><Relationship Id="rId160" Type="http://schemas.openxmlformats.org/officeDocument/2006/relationships/externalLink" Target="externalLinks/externalLink154.xml"/><Relationship Id="rId181" Type="http://schemas.openxmlformats.org/officeDocument/2006/relationships/externalLink" Target="externalLinks/externalLink175.xml"/><Relationship Id="rId22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8.xml"/><Relationship Id="rId118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33.xml"/><Relationship Id="rId85" Type="http://schemas.openxmlformats.org/officeDocument/2006/relationships/externalLink" Target="externalLinks/externalLink79.xml"/><Relationship Id="rId150" Type="http://schemas.openxmlformats.org/officeDocument/2006/relationships/externalLink" Target="externalLinks/externalLink144.xml"/><Relationship Id="rId171" Type="http://schemas.openxmlformats.org/officeDocument/2006/relationships/externalLink" Target="externalLinks/externalLink165.xml"/><Relationship Id="rId192" Type="http://schemas.openxmlformats.org/officeDocument/2006/relationships/externalLink" Target="externalLinks/externalLink186.xml"/><Relationship Id="rId12" Type="http://schemas.openxmlformats.org/officeDocument/2006/relationships/externalLink" Target="externalLinks/externalLink6.xml"/><Relationship Id="rId3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90.xml"/><Relationship Id="rId140" Type="http://schemas.openxmlformats.org/officeDocument/2006/relationships/externalLink" Target="externalLinks/externalLink134.xml"/><Relationship Id="rId161" Type="http://schemas.openxmlformats.org/officeDocument/2006/relationships/externalLink" Target="externalLinks/externalLink155.xml"/><Relationship Id="rId182" Type="http://schemas.openxmlformats.org/officeDocument/2006/relationships/externalLink" Target="externalLinks/externalLink176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80.xml"/><Relationship Id="rId130" Type="http://schemas.openxmlformats.org/officeDocument/2006/relationships/externalLink" Target="externalLinks/externalLink124.xml"/><Relationship Id="rId151" Type="http://schemas.openxmlformats.org/officeDocument/2006/relationships/externalLink" Target="externalLinks/externalLink145.xml"/><Relationship Id="rId172" Type="http://schemas.openxmlformats.org/officeDocument/2006/relationships/externalLink" Target="externalLinks/externalLink166.xml"/><Relationship Id="rId193" Type="http://schemas.openxmlformats.org/officeDocument/2006/relationships/externalLink" Target="externalLinks/externalLink187.xml"/><Relationship Id="rId13" Type="http://schemas.openxmlformats.org/officeDocument/2006/relationships/externalLink" Target="externalLinks/externalLink7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20" Type="http://schemas.openxmlformats.org/officeDocument/2006/relationships/externalLink" Target="externalLinks/externalLink114.xml"/><Relationship Id="rId141" Type="http://schemas.openxmlformats.org/officeDocument/2006/relationships/externalLink" Target="externalLinks/externalLink135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162" Type="http://schemas.openxmlformats.org/officeDocument/2006/relationships/externalLink" Target="externalLinks/externalLink156.xml"/><Relationship Id="rId183" Type="http://schemas.openxmlformats.org/officeDocument/2006/relationships/externalLink" Target="externalLinks/externalLink17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25.xml"/><Relationship Id="rId136" Type="http://schemas.openxmlformats.org/officeDocument/2006/relationships/externalLink" Target="externalLinks/externalLink130.xml"/><Relationship Id="rId157" Type="http://schemas.openxmlformats.org/officeDocument/2006/relationships/externalLink" Target="externalLinks/externalLink151.xml"/><Relationship Id="rId178" Type="http://schemas.openxmlformats.org/officeDocument/2006/relationships/externalLink" Target="externalLinks/externalLink172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52" Type="http://schemas.openxmlformats.org/officeDocument/2006/relationships/externalLink" Target="externalLinks/externalLink146.xml"/><Relationship Id="rId173" Type="http://schemas.openxmlformats.org/officeDocument/2006/relationships/externalLink" Target="externalLinks/externalLink167.xml"/><Relationship Id="rId194" Type="http://schemas.openxmlformats.org/officeDocument/2006/relationships/externalLink" Target="externalLinks/externalLink188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externalLink" Target="externalLinks/externalLink120.xml"/><Relationship Id="rId147" Type="http://schemas.openxmlformats.org/officeDocument/2006/relationships/externalLink" Target="externalLinks/externalLink141.xml"/><Relationship Id="rId168" Type="http://schemas.openxmlformats.org/officeDocument/2006/relationships/externalLink" Target="externalLinks/externalLink16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142" Type="http://schemas.openxmlformats.org/officeDocument/2006/relationships/externalLink" Target="externalLinks/externalLink136.xml"/><Relationship Id="rId163" Type="http://schemas.openxmlformats.org/officeDocument/2006/relationships/externalLink" Target="externalLinks/externalLink157.xml"/><Relationship Id="rId184" Type="http://schemas.openxmlformats.org/officeDocument/2006/relationships/externalLink" Target="externalLinks/externalLink178.xml"/><Relationship Id="rId189" Type="http://schemas.openxmlformats.org/officeDocument/2006/relationships/externalLink" Target="externalLinks/externalLink18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137" Type="http://schemas.openxmlformats.org/officeDocument/2006/relationships/externalLink" Target="externalLinks/externalLink131.xml"/><Relationship Id="rId158" Type="http://schemas.openxmlformats.org/officeDocument/2006/relationships/externalLink" Target="externalLinks/externalLink15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32" Type="http://schemas.openxmlformats.org/officeDocument/2006/relationships/externalLink" Target="externalLinks/externalLink126.xml"/><Relationship Id="rId153" Type="http://schemas.openxmlformats.org/officeDocument/2006/relationships/externalLink" Target="externalLinks/externalLink147.xml"/><Relationship Id="rId174" Type="http://schemas.openxmlformats.org/officeDocument/2006/relationships/externalLink" Target="externalLinks/externalLink168.xml"/><Relationship Id="rId179" Type="http://schemas.openxmlformats.org/officeDocument/2006/relationships/externalLink" Target="externalLinks/externalLink173.xml"/><Relationship Id="rId195" Type="http://schemas.openxmlformats.org/officeDocument/2006/relationships/theme" Target="theme/theme1.xml"/><Relationship Id="rId190" Type="http://schemas.openxmlformats.org/officeDocument/2006/relationships/externalLink" Target="externalLinks/externalLink184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externalLink" Target="externalLinks/externalLink12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143" Type="http://schemas.openxmlformats.org/officeDocument/2006/relationships/externalLink" Target="externalLinks/externalLink137.xml"/><Relationship Id="rId148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58.xml"/><Relationship Id="rId169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7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4.xml"/><Relationship Id="rId26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62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33" Type="http://schemas.openxmlformats.org/officeDocument/2006/relationships/externalLink" Target="externalLinks/externalLink127.xml"/><Relationship Id="rId154" Type="http://schemas.openxmlformats.org/officeDocument/2006/relationships/externalLink" Target="externalLinks/externalLink148.xml"/><Relationship Id="rId175" Type="http://schemas.openxmlformats.org/officeDocument/2006/relationships/externalLink" Target="externalLinks/externalLink169.xml"/><Relationship Id="rId196" Type="http://schemas.openxmlformats.org/officeDocument/2006/relationships/styles" Target="styles.xml"/><Relationship Id="rId16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52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44" Type="http://schemas.openxmlformats.org/officeDocument/2006/relationships/externalLink" Target="externalLinks/externalLink138.xml"/><Relationship Id="rId90" Type="http://schemas.openxmlformats.org/officeDocument/2006/relationships/externalLink" Target="externalLinks/externalLink84.xml"/><Relationship Id="rId165" Type="http://schemas.openxmlformats.org/officeDocument/2006/relationships/externalLink" Target="externalLinks/externalLink159.xml"/><Relationship Id="rId186" Type="http://schemas.openxmlformats.org/officeDocument/2006/relationships/externalLink" Target="externalLinks/externalLink180.xml"/><Relationship Id="rId27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34" Type="http://schemas.openxmlformats.org/officeDocument/2006/relationships/externalLink" Target="externalLinks/externalLink128.xml"/><Relationship Id="rId80" Type="http://schemas.openxmlformats.org/officeDocument/2006/relationships/externalLink" Target="externalLinks/externalLink74.xml"/><Relationship Id="rId155" Type="http://schemas.openxmlformats.org/officeDocument/2006/relationships/externalLink" Target="externalLinks/externalLink149.xml"/><Relationship Id="rId176" Type="http://schemas.openxmlformats.org/officeDocument/2006/relationships/externalLink" Target="externalLinks/externalLink170.xml"/><Relationship Id="rId197" Type="http://schemas.openxmlformats.org/officeDocument/2006/relationships/sharedStrings" Target="sharedStrings.xml"/><Relationship Id="rId17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24" Type="http://schemas.openxmlformats.org/officeDocument/2006/relationships/externalLink" Target="externalLinks/externalLink118.xml"/><Relationship Id="rId70" Type="http://schemas.openxmlformats.org/officeDocument/2006/relationships/externalLink" Target="externalLinks/externalLink64.xml"/><Relationship Id="rId91" Type="http://schemas.openxmlformats.org/officeDocument/2006/relationships/externalLink" Target="externalLinks/externalLink85.xml"/><Relationship Id="rId145" Type="http://schemas.openxmlformats.org/officeDocument/2006/relationships/externalLink" Target="externalLinks/externalLink139.xml"/><Relationship Id="rId166" Type="http://schemas.openxmlformats.org/officeDocument/2006/relationships/externalLink" Target="externalLinks/externalLink160.xml"/><Relationship Id="rId187" Type="http://schemas.openxmlformats.org/officeDocument/2006/relationships/externalLink" Target="externalLinks/externalLink181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Relationship Id="rId60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75.xml"/><Relationship Id="rId135" Type="http://schemas.openxmlformats.org/officeDocument/2006/relationships/externalLink" Target="externalLinks/externalLink129.xml"/><Relationship Id="rId156" Type="http://schemas.openxmlformats.org/officeDocument/2006/relationships/externalLink" Target="externalLinks/externalLink150.xml"/><Relationship Id="rId177" Type="http://schemas.openxmlformats.org/officeDocument/2006/relationships/externalLink" Target="externalLinks/externalLink171.xml"/><Relationship Id="rId198" Type="http://schemas.openxmlformats.org/officeDocument/2006/relationships/calcChain" Target="calcChain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4.xml"/><Relationship Id="rId104" Type="http://schemas.openxmlformats.org/officeDocument/2006/relationships/externalLink" Target="externalLinks/externalLink98.xml"/><Relationship Id="rId125" Type="http://schemas.openxmlformats.org/officeDocument/2006/relationships/externalLink" Target="externalLinks/externalLink119.xml"/><Relationship Id="rId146" Type="http://schemas.openxmlformats.org/officeDocument/2006/relationships/externalLink" Target="externalLinks/externalLink140.xml"/><Relationship Id="rId167" Type="http://schemas.openxmlformats.org/officeDocument/2006/relationships/externalLink" Target="externalLinks/externalLink161.xml"/><Relationship Id="rId188" Type="http://schemas.openxmlformats.org/officeDocument/2006/relationships/externalLink" Target="externalLinks/externalLink18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400440</xdr:colOff>
      <xdr:row>2</xdr:row>
      <xdr:rowOff>85725</xdr:rowOff>
    </xdr:from>
    <xdr:to>
      <xdr:col>1</xdr:col>
      <xdr:colOff>2312906</xdr:colOff>
      <xdr:row>6</xdr:row>
      <xdr:rowOff>119133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87DC1E1-DEF8-4C2B-9745-E93E3A22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440" y="466725"/>
          <a:ext cx="2522066" cy="843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0;&#1088;&#1093;&#1080;&#1074;\&#1060;&#1072;&#1082;&#1090;&#1086;&#1088;&#1080;&#1103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1;&#1051;&#1040;&#1053;&#1050;&#1048;\&#1040;&#1051;&#1052;&#1040;&#1047;\GERASIMCHUK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Work\&#1054;&#1094;&#1077;&#1085;&#1082;&#1072;\&#1057;&#1074;&#1103;&#1079;&#1100;&#1089;&#1090;&#1088;&#1086;&#1081;\&#1057;&#1074;&#1103;&#1079;&#1100;&#1089;&#1090;&#1088;&#1086;&#1081;\16.10\&#1054;&#1087;&#1088;&#1086;&#1089;&#1085;&#1080;&#1082;%20&#1047;&#1040;&#1054;%20&#1052;&#1043;&#1057;&#1057;%20(&#1085;&#1072;%201.03.08&#1075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VASENE~1\LOCALS~1\Temp\&#1057;&#1055;&#1063;-&#1082;&#1088;&#1077;&#1076;&#1080;&#1090;%20&#1040;&#1083;&#1100;&#1092;&#1072;&#1073;&#1072;&#1085;&#1082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4;&#1082;&#1090;&#1103;&#1073;&#1088;&#1100;&#1089;&#1082;&#1072;&#1103;%20&#1085;&#1072;&#1073;\&#1058;&#1069;&#1054;%20&#1054;&#1082;&#1090;&#1103;&#1073;&#1088;&#1100;&#1089;&#1082;&#1072;&#1103;%20&#1085;&#1072;&#107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rts\Common_E\111\&#1064;&#1072;&#1096;&#1072;\&#1050;&#1088;&#1072;&#1081;&#1085;&#1077;&#1074;&#1072;\&#1086;&#1094;&#1077;&#1085;&#1082;&#1072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_old1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ba\&#1056;&#1072;&#1073;&#1086;&#1095;&#1072;&#1103;\&#1088;&#1072;&#1089;&#1095;&#1077;&#1090;%20&#1043;&#1059;&#1055;%20&#1086;&#1082;.%20&#1074;&#1072;&#1088;.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8;&#1056;&#1054;&#1048;&#1058;&#1045;&#1051;&#1068;&#1057;&#1058;&#1042;&#1054;%20-%20&#1056;&#1050;&#1057;%20(28-02-2009)&#1075;&#1088;%20&#1083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DOCUME~1\2ADB~1\LOCALS~1\Temp\bat\376A878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E\Documents%20and%20Settings\zgoda\Local%20Settings\Temporary%20Internet%20Files\OLK327\&#1040;&#1083;&#1100;&#1073;&#1086;&#1084;%20&#1092;&#1086;&#1088;&#1084;%20&#1086;&#1090;&#1095;&#1077;&#1090;&#1085;&#1086;&#1089;&#1090;&#1080;\&#1040;&#1083;&#1100;&#1073;&#1086;&#1084;%20&#1092;&#1086;&#1088;&#1084;%20&#1055;&#1069;&#1054;\&#1060;&#1086;&#1088;&#1084;&#1072;%204%20&#1050;&#1088;%20&#1080;%20&#1044;&#1073;%20&#1079;&#1072;&#1076;&#1086;&#1083;&#1078;&#1077;&#1085;&#1085;&#1086;&#1089;&#1090;&#1100;%2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86;&#1094;&#1077;&#1085;&#1082;&#1072;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sha\Inout\Ruben's%20work\&#1054;&#1088;&#1077;&#1085;&#1073;&#1091;&#1088;&#1075;&#1101;&#1085;&#1077;&#1088;&#1075;&#1086;&#1088;&#1077;&#1084;&#1086;&#1085;&#1090;_&#1079;&#1076;&#1072;&#1085;&#1080;&#1077;\Zemlya_Dohod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1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0;&#1076;&#1088;&#1077;&#1089;&#1085;&#1072;&#1103;%20&#1087;&#1088;&#1086;&#1075;&#1088;&#1072;&#1084;&#1084;&#1072;\&#1044;&#1083;&#1103;%20CLN\&#1040;&#1076;&#1088;&#1077;&#1089;&#1085;&#1072;&#1103;%20&#1087;&#1088;&#1086;&#1075;&#1088;&#1072;&#1084;&#1084;&#1072;%2013%2010%2005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Exchange\&#1070;&#1083;&#1103;\&#1047;&#1072;&#1082;&#1086;&#1085;&#1095;&#1077;&#1085;&#1085;&#1099;&#1077;%20&#1082;&#1088;&#1080;&#1091;&#1096;&#1080;\DOCUME~1\audit7\LOCALS~1\Temp\bat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AF56F0B\&#1079;&#1072;&#1090;&#1088;&#1072;&#1090;&#1085;&#1099;&#1081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8636~1\2003\&#1052;&#1086;&#1085;&#1091;&#1084;&#1077;&#1085;&#1090;%20&#1089;&#1082;&#1091;&#1083;&#1100;&#1087;&#1090;&#1091;&#1088;&#1072;\&#1057;&#1072;&#1083;&#1086;&#1074;&#1072;%20&#1083;&#1080;&#1090;%20&#104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6\d\&#1084;&#1086;&#1083;&#1086;&#1082;&#1086;&#1079;&#1072;&#1074;&#1086;&#1076;&#1099;%20(%20&#1042;%20)\&#1050;.&#1075;&#1074;&#1072;&#1088;&#1076;&#1080;&#1103;\&#1073;&#1072;&#1079;&#1086;&#1074;&#1072;&#1103;\&#1055;&#1083;&#1072;&#1085;%2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2;&#1086;&#1080;%20&#1076;&#1086;&#1082;&#1091;&#1084;&#1077;&#1085;&#1090;&#1099;\&#1044;&#1054;&#1053;&#1057;&#1050;&#1054;&#1043;&#1054;\&#1040;&#1050;&#1058;&#1067;%20Kashtan.%20~&#1089;&#1090;&#1088;&#1086;&#1080;&#109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elnikov\&#1054;&#1073;&#1084;&#1077;&#1085;\Work\&#1054;&#1094;&#1077;&#1085;&#1082;&#1072;%20(&#1053;&#1080;&#1085;&#1072;)\&#1041;&#1080;&#1079;&#1085;&#1077;&#1089;\&#1048;&#1060;&#1044;\&#1048;&#1089;&#1093;&#1086;&#1076;.&#1076;&#1072;&#1085;&#1085;&#1099;&#1077;_08.12.05\&#1050;&#1072;&#1087;&#1080;&#1090;&#1072;&#1083;-&#1055;&#1077;&#1088;&#1077;&#1089;&#1090;&#1088;&#1072;&#1093;&#1086;&#1074;&#1072;&#1085;&#1080;&#1077;\&#1087;.1&#1041;&#1059;&#1061;&#1043;&#1040;&#1051;&#1058;&#1045;&#1056;&#1057;&#1050;&#1048;&#1049;%20&#1041;&#1040;&#1051;&#1040;&#1053;&#1057;%20&#1057;&#1058;&#1056;&#1040;&#1061;&#1054;&#1042;&#1054;&#1049;%20&#1054;&#1056;&#1043;&#1040;&#1053;&#1048;&#1047;&#1040;&#1062;&#1048;&#1048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44;%20(2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ia\&#1088;&#1072;&#1073;&#1086;&#1095;&#1072;&#1103;\&#1052;&#1086;&#1080;%20&#1076;&#1086;&#1082;&#1091;&#1084;&#1077;&#1085;&#1090;&#1099;\&#1056;&#1072;&#1073;&#1086;&#1095;&#1072;&#1103;\sovetskaia\base_4_sp_new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.7.16\setevaya\VALUATION\&#1055;&#1056;&#1054;&#1045;&#1050;&#1058;&#1067;\LSR_Potfolio_Dec2019\Calculation\Commercial\33-1.%20&#1057;&#1084;&#1086;&#1083;&#1100;&#1085;&#1099;&#1081;%20&#1087;&#1072;&#1088;&#1082;_&#1041;11%202020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vladimirova\My%20Documents\&#1043;&#1086;&#1088;&#1073;&#1086;&#1074;&#1086;\&#1088;&#1072;&#1089;&#1095;&#1077;&#1090;%20&#1043;&#1086;&#1088;&#1073;&#1086;&#1074;&#1086;_&#1070;&#1083;&#1103;%20(24.09)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4\&#1044;&#1077;&#1082;&#1072;&#1073;&#1088;&#1100;\&#1053;&#1077;&#1076;&#1074;&#1080;&#1078;&#1080;&#1084;&#1086;&#1089;&#1090;&#1100;\&#1054;&#1090;&#1076;&#1077;&#1083;&#1089;&#1090;&#1088;&#1086;&#1081;\&#1054;&#1090;&#1095;&#1077;&#1090;\&#1054;&#1090;&#1076;&#1077;&#1083;&#1089;&#1090;&#1088;&#1086;&#1081;_&#1086;&#1090;&#1095;&#1077;&#1090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&#1054;&#1094;&#1077;&#1085;&#1082;&#1080;\2002\&#1051;&#1091;&#1082;&#1086;&#1081;&#1083;%202\&#1057;&#1074;&#1086;&#107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2;&#1086;&#1080;%20&#1076;&#1086;&#1082;&#1091;&#1084;&#1077;&#1085;&#1090;&#1099;\&#1053;&#1045;&#1042;&#1057;&#1050;&#1054;&#1043;&#1054;.1\&#1052;&#1086;&#1080;%20&#1076;&#1086;&#1082;&#1091;&#1084;&#1077;&#1085;&#1090;&#1099;\GERASIMCHU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LUEFISH\Pto_doc\PTO2\&#1053;&#1077;&#1074;&#1089;&#1082;&#1086;&#1075;&#1086;%205\_Ram\&#1058;&#1045;\&#1052;&#1040;&#1058;&#1045;&#1056;&#1048;&#1040;&#1051;&#1067;%20&#1057;&#1040;&#1053;&#1058;&#1045;&#1061;%2024.03.04%20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rts\&#1042;_&#1040;&#1088;&#1093;&#1080;&#1074;\&#1056;&#1099;&#1085;&#1086;&#1095;&#1085;&#1072;&#1103;%202004\&#1053;&#1086;&#1103;&#1073;&#1088;&#1100;\&#1053;&#1077;&#1076;&#1074;&#1080;&#1078;&#1080;&#1084;&#1086;&#1089;&#1090;&#1100;\&#1058;&#1086;&#1082;&#1089;&#1086;&#1074;&#1089;&#1082;&#1086;&#1077;%20&#1088;&#1072;&#1081;&#1087;&#1086;\&#1086;&#1094;&#1077;&#1085;&#1082;&#107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welcome!\&#1052;&#1086;&#1080;%20&#1076;&#1086;&#1082;&#1091;&#1084;&#1077;&#1085;&#1090;&#1099;\&#1041;&#1077;&#1088;&#1077;&#1078;&#1085;&#1086;&#1081;\&#1056;&#1072;&#1073;&#1086;&#1095;&#1072;&#1103;\&#1052;&#1072;&#1075;&#1072;&#1079;&#1080;&#1085;&#1050;&#1085;&#1080;&#1075;&#1080;\&#1050;_&#1082;&#1085;&#1080;&#1075;&#108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USERS\INFORM\FIN\PASX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welcome!\&#1052;&#1086;&#1080;%20&#1076;&#1086;&#1082;&#1091;&#1084;&#1077;&#1085;&#1090;&#1099;\AAntonov\Real%20estate\&#1092;&#1088;&#1091;&#1085;&#1079;&#1077;\&#1060;&#1088;&#1091;&#1085;&#1079;&#1077;&#1085;&#1089;&#1082;&#1080;&#1081;_&#1041;&#1077;&#1088;&#1077;&#1078;&#1085;&#1086;&#1081;\&#1050;_&#1060;&#1088;&#1091;&#1085;&#1079;&#1077;&#1085;&#1089;&#1082;&#1080;&#108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s07\clients\Documents\Projects\RAO%20UES\Sample%20Reports\CEZ\CEZ_Model_16_m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User2\&#1056;&#1072;&#1073;&#1086;&#1095;&#1080;&#1081;%20&#1089;&#1090;&#1086;&#1083;\&#1041;&#1080;&#1079;&#1085;&#1077;&#1089;%20&#1086;&#1090;%20&#1040;&#1083;&#1077;&#1082;&#1089;&#1077;&#1103;\&#1054;&#1094;&#1077;&#1085;&#1082;&#1072;%20&#1073;&#1080;&#1079;&#1085;&#1077;&#1089;&#1072;%20&#1047;&#1040;&#1054;%20&#1058;&#1088;&#1072;&#1085;&#1089;&#1080;&#1085;&#1092;&#1086;&#1088;&#1084;\&#1054;&#1090;%20&#1074;&#1099;&#1088;&#1091;&#1095;&#1082;&#1080;%20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ryzhanovskiySO\Desktop\&#1055;&#1088;&#1080;&#1084;&#1077;&#1088;%20&#1088;&#1072;&#1089;&#1095;&#1077;&#1090;&#1072;\&#1052;&#1072;&#1088;&#1096;&#1072;&#1083;%20&#1080;%20&#1043;&#1050;&#1057;\28032016_&#1056;&#1072;&#1089;&#1095;&#1077;&#1090;_&#1053;&#1080;&#1078;&#1085;&#1077;&#1082;&#1072;&#1084;&#1089;&#1082;&#1085;&#1077;&#1092;&#1090;&#1077;&#1093;&#1080;&#1084;_&#1052;&#1080;&#1054;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Slugby%20zam.gen.direktora%20po%20ekonomike%20i%20finansam\Finansovaya%20direkciya\Gruppa%20finansovogo%20planirovaniya%20i%20analiza\&#1060;&#1080;&#1085;&#1087;&#1083;&#1072;&#1085;%20&#1085;&#1072;%202004%20&#1075;\&#1048;&#1083;&#1080;&#1084;&#1093;&#1080;&#1084;&#1087;&#1088;&#1086;&#1084;%202004\&#1060;&#1055;%20&#1048;&#1061;&#1055;%202004%20-%2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alon.local\etalongroup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Exchange\&#1070;&#1083;&#1103;\&#1047;&#1072;&#1082;&#1086;&#1085;&#1095;&#1077;&#1085;&#1085;&#1099;&#1077;%20&#1082;&#1088;&#1080;&#1091;&#1096;&#1080;\docs\17-&#1081;%20&#1087;&#1088;.%20&#1052;&#1072;&#1088;&#1100;&#1080;&#1085;&#1086;&#1081;%20&#1088;&#1086;&#1097;&#1080;\Documents%20and%20Settings\&#1040;&#1076;&#1084;&#1080;&#1085;&#1080;&#1089;&#1090;&#1088;&#1072;&#1090;&#1086;&#1088;\&#1056;&#1072;&#1073;&#1086;&#1095;&#1080;&#1081;%20&#1089;&#1090;&#1086;&#1083;\&#1050;&#1040;&#1058;&#1045;&#1063;&#1050;&#1040;\&#1048;&#1085;&#1074;&#1077;&#1089;&#1090;&#1099;\&#1048;&#1085;&#1074;&#1077;&#1089;&#1090;&#1040;&#1085;&#1072;&#1083;&#1080;&#1079;%20&#1052;&#1072;&#1088;&#1100;&#1080;&#1085;&#1089;&#1082;&#1080;&#1081;%20&#1087;&#1072;&#1088;&#1082;%20118%20&#1089;%20&#1085;&#1086;&#1074;&#1086;&#1081;%20&#1089;&#1077;&#1073;&#1077;&#1089;&#1090;&#1086;&#1080;&#1084;&#1086;&#1089;&#1090;&#1100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Users\Inna.Golovchenko\AppData\Local\Microsoft\Windows\Temporary%20Internet%20Files\Content.Outlook\OPISLBQE\SSA%20Debt%20tool%20RUS_april%202009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elnikov\&#1054;&#1073;&#1084;&#1077;&#1085;\Temp\c.lotus.notes.data\PROGRAM%20FILES\&#1053;&#1040;&#1051;&#1054;&#1043;&#1054;&#1055;&#1051;&#1040;&#1058;&#1045;&#1051;&#1068;&#1065;&#1048;&#1050;%20&#1070;&#1051;\INPUTDOC\BASES\bb011003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40;&#1055;&#1048;-&#1087;&#1072;&#1085;&#1089;&#1080;&#1086;&#1085;&#1072;&#1090;&#1099;/Generation%20Model-PSKOV%20-%20261104_11_3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.7.16\Business\Renova\Work\Zhivchikov\&#1050;&#1069;&#1057;\&#1048;&#1088;&#1082;&#1091;&#1090;&#1089;&#1082;\Estimation\Model_IrkutskEnergoStroy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spb-fs02\Public\Users\o.sarul\AppData\Local\Microsoft\Windows\Temporary%20Internet%20Files\Content.Outlook\8AGT0YSS\&#1044;&#1086;&#1087;&#1086;&#1083;.&#1085;&#1072;%20&#1088;&#1091;&#1089;&#1089;&#1082;&#1086;&#1084;%20Management%20Report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ktsvdc2\Work\Documents%20and%20Settings\Vahitov_V\Local%20Settings\Temporary%20Internet%20Files\Content.Outlook\4BAC2WHW\&#1051;&#1080;&#1079;&#1080;&#1085;&#1075;%20&#1070;&#1085;&#1090;&#1072;&#1085;&#1085;%20xls%20(2)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senev_V\&#1052;&#1086;&#1080;%20&#1076;&#1086;&#1082;&#1091;&#1084;&#1077;&#1085;&#1090;&#1099;\&#1056;&#1077;&#1081;&#1090;&#1080;&#1085;&#1075;&#1086;&#1074;&#1072;&#1085;&#1080;&#1077;\Standard%20&amp;%20Poor's\&#1054;&#1090;&#1095;&#1077;&#1090;&#1099;%20&#1087;&#1086;%20&#1083;&#1080;&#1082;&#1074;&#1080;&#1076;&#1085;&#1086;&#1089;&#1090;&#1080;\Liquidity%20Report%20-%20CJSC%20SSMO%20LenSpecSMU%20-%20Q1%202008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clients\My%20Documents\Billing%20system%20analysis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alon.local\etalongroup\WINDOWS\TEMP\notesE1EF34\Gestion\$SOFTR\Budget%202005-2006\721\SYNTH_PL.syn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\BPBRAT99IPpl.XLW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&#1052;&#1086;&#1080;%20&#1076;&#1086;&#1082;&#1091;&#1084;&#1077;&#1085;&#1090;&#1099;\&#1044;&#1086;&#1082;&#1091;&#1084;&#1077;&#1085;&#1090;&#1099;\&#1076;&#1086;&#1075;&#1086;&#1074;&#1086;&#1088;\&#1087;&#1072;&#1088;&#1090;&#1085;&#1077;&#1088;&#1089;&#1090;&#1074;&#1086;\&#1050;&#1040;&#1055;&#1054;%20&#1086;&#1092;&#1077;&#1088;&#1090;&#1072;%2021%203%20&#1085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s07\Healthcare\Comparator%20companies\Specialty%20Pharma\new_spec_pharm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\programs\TEMP\&#1086;&#1090;&#1095;&#1077;&#1090;&#1085;&#1086;&#1089;&#1090;&#1100;_%2030.06.99.&#1095;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5;&#1083;&#1072;&#1085;&#1080;&#1088;&#1086;&#1074;&#1072;&#1085;&#1080;&#1077;\1_&#1082;&#1074;_02\&#1040;&#1075;&#1077;&#1085;&#1090;&#1099;\&#1044;&#1072;&#1085;&#1077;&#1090;\findir\&#1057;&#1086;&#1074;&#1077;&#1090;&#1044;&#1080;&#1088;&#1077;&#1082;&#1090;&#1086;&#1088;&#1086;&#1074;\&#1041;&#1080;&#1079;&#1085;&#1077;&#1089;&#1087;&#1083;&#1072;&#1085;\TT_03_12_01&#1087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55;&#1089;&#1082;&#1086;&#1074;&#1089;&#1082;&#1072;&#1103;%20&#1043;&#1056;&#1069;&#1057;%20&#1085;&#1072;%2001.07.2004/&#1092;&#1080;&#1085;&#1072;&#1083;/Generation%20Model-PSKOV%20-%20251104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Deals\Deals\Competition_deals\2014\Q3\Colliers_Executed_deals_Q3_2014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DOCUME~1\2ADB~1\LOCALS~1\Temp\bat\999513B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serega\My%20Documents\Serguei\2009%20%23%23\08-2009\&#1044;&#1048;&#1043;&#1052;_&#1054;&#1088;&#1091;&#1078;&#1077;&#1081;&#1085;&#1099;&#1081;%20&#1087;&#1077;&#1088;.,%20&#1076;.19\&#1056;&#1072;&#1089;&#1095;&#1077;&#1090;%20&#1054;&#1088;&#1091;&#1078;&#1077;&#1081;&#1085;&#1099;&#1081;_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mexp-server\&#1058;&#1045;&#1050;&#1059;&#1065;&#1048;&#1045;%20&#1055;&#1056;&#1054;&#1045;&#1050;&#1058;&#1067;\&#1055;&#1080;&#1090;&#1077;&#1088;-%20&#1086;&#1073;&#1083;&#1072;&#1089;&#1090;&#1100;\&#1055;&#1091;&#1096;&#1082;&#1080;&#1085;\&#1051;&#1080;&#1089;&#1090;%20Microsoft%20Exce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lobodzyan\Local%20Settings\Temporary%20Internet%20Files\OLK12\&#1041;&#1072;&#1079;&#1072;-&#1072;&#1088;&#1077;&#1085;&#1076;&#1085;.&#1087;&#1083;&#1072;&#1090;&#1077;&#1078;&#1080;%20(&#1086;&#1089;&#1085;&#1086;&#1074;&#1085;&#1072;&#1103;)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\programs\NAV\PIF_Report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2\LenSpecSMU\Financial%20department\Standard%20&amp;%20Poor's\Liquidity%20Reports\CJSC%20SSMO%20LenSpetSMU_LR%202013%20Q4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en.ru\files\Users\pinchuk_nn\AppData\Local\Microsoft\Windows\Temporary%20Internet%20Files\Content.Outlook\EMSUWSY6\&#1053;&#1054;&#1042;&#1054;&#1057;&#1048;&#1041;%20&#1089;&#1086;%20&#1089;&#1090;&#1077;&#1087;&#1077;&#1085;&#1100;&#1102;%20&#1075;&#1086;&#1090;&#1086;&#1074;&#1085;&#1086;&#1089;&#1090;&#1100;&#1102;%20&#1073;&#1083;&#1080;&#1079;&#1082;&#1086;&#1081;%20&#1082;%20&#1085;&#1077;&#1079;&#1072;&#1074;&#1077;&#1088;&#1096;&#1077;&#1085;&#1082;&#1077;.xlsm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vada\buhgalteriy\OTZ\PROCH\GAAPS\US%20GAAP%2003-01\Reporting%20package%20FORM\Link-ex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January\January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Presentations\Short_Market_Overview\2015\4Q\March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Work\&#1088;&#1072;&#1073;&#1086;&#1090;&#1072;\2005\&#1079;&#1072;&#1082;&#1086;&#1085;&#1095;&#1077;&#1085;&#1085;&#1099;&#1077;%20&#1088;&#1072;&#1073;&#1086;&#1090;&#1099;\&#1054;&#1040;&#1054;%20&#1040;&#1088;&#1085;&#1077;&#1089;&#1090;\&#1092;&#1080;&#1085;&#1072;&#1083;\&#1088;&#1072;&#1089;&#1095;&#1077;&#1090;\3%20&#1087;&#1086;&#1076;&#1093;&#1086;&#1076;&#1072;-&#1040;&#1088;&#1085;&#1077;&#1089;&#1090;-&#1080;&#1090;&#1086;&#10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Work\&#1076;&#1086;&#1082;&#1091;&#1084;&#1077;&#1085;&#1090;&#1099;\2004\&#1053;&#1077;&#1092;&#1090;&#1103;&#1085;&#1099;&#1077;%20&#1082;&#1086;&#1084;&#1087;&#1072;&#1085;&#1080;&#1080;\&#1041;&#1072;&#1083;&#1072;&#1085;&#1089;&#1099;_01.12.2004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1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DOCUME~1\2ADB~1\LOCALS~1\Temp\bat\14120EC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69;&#1054;%20&#1055;&#1086;&#1090;&#1086;&#1082;&#1080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sdelki\&#1054;&#1051;&#1045;&#1043;\&#1050;&#1059;&#1053;&#1062;&#1045;&#1042;&#1054;\DeltaAutoLease%20calculator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ho\aho\&#1052;&#1086;&#1080;%20&#1076;&#1086;&#1082;&#1091;&#1084;&#1077;&#1085;&#1090;&#1099;\Aho\&#1048;&#1088;&#1083;&#1077;&#1085;\&#1088;&#1072;&#1089;&#1095;_&#1087;&#1088;&#1089;_&#1080;&#1088;&#1083;&#1077;&#108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Documents%20and%20Settings\mapro\Desktop\&#1042;&#1058;&#1041;\&#1057;&#1080;&#1089;&#1090;&#1077;&#1084;&#1072;%20&#1043;&#1072;&#1083;&#1089;\1_&#1060;&#1080;&#1085;%20&#1084;&#1086;&#1076;&#1077;&#1083;&#1080;\2_VTB\Kamelia_final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yacheslavov-av\Documents\&#1056;&#1091;&#1073;&#1083;&#1077;&#1074;&#1086;-&#1040;&#1088;&#1093;&#1072;&#1085;&#1075;&#1077;&#1083;&#1100;&#1089;&#1082;&#1086;&#1077;\2015%2012%2014\2015%2012%2016%20&#1052;&#1060;&#1062;+&#1089;&#1094;&#1077;&#1085;&#1072;&#1088;&#1080;&#1080;.xlsm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beg.net\documents\&#1052;&#1086;&#1080;%20&#1076;&#1086;&#1082;&#1091;&#1084;&#1077;&#1085;&#1090;&#1099;\GENERAL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Februar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k-server\&#1087;&#1101;&#1086;\&#1057;&#1087;&#1077;&#1094;&#1078;&#1080;&#1088;&#1099;\&#1069;&#1082;&#1086;&#1085;&#1086;&#1084;&#1095;&#1077;&#1089;&#1082;&#1080;&#1081;%20&#1072;&#1085;&#1072;&#1083;&#1080;&#1079;\&#1056;&#1072;&#1073;&#1086;&#1090;&#1072;%20&#1079;&#1072;%20&#1051;&#1077;&#1085;&#1091;\&#1084;&#1086;&#1103;%20&#1088;&#1072;&#1073;&#1086;&#1090;&#1072;\&#1072;&#1087;&#1088;&#1077;&#1083;&#1100;%20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Reports\2014\Q4\&#1054;&#1073;&#1089;&#1095;&#1077;&#1090;%20&#1089;&#1087;&#1088;&#1086;&#1089;&#1072;%202014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IgMoz\WINDOWS\&#1056;&#1072;&#1073;&#1086;&#1095;&#1080;&#1081;%20&#1089;&#1090;&#1086;&#1083;\OCENKA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omova\d\&#1050;&#1080;&#1088;&#1072;\&#1041;&#1086;&#1075;&#1072;&#1090;&#1099;&#1088;&#1089;&#1082;&#1080;&#1081;\&#1041;&#1086;&#1075;&#1072;&#1090;,%20&#1084;&#1086;&#1081;\&#1041;&#1086;&#1075;&#1072;&#1090;%20&#1085;&#1086;&#1074;%20&#1080;&#1102;&#1085;&#1100;%202006\&#1050;&#1086;&#1087;&#1080;&#1103;%20&#1056;&#1072;&#1089;&#1095;&#1077;&#1090;&#1099;%20&#1074;&#1089;&#1077;%20&#1044;&#1085;&#1077;&#1087;&#1088;&#1086;&#1087;&#1077;&#1090;&#1088;&#1086;&#1074;&#1089;&#1082;&#1072;&#1103;%20&#1076;(1).%2010%20&#1079;&#1072;&#1090;&#1088;&#1072;&#1090;&#1085;&#1099;&#1081;,%20&#1076;&#1086;&#1093;&#1086;&#1076;&#1085;&#1099;&#1081;,%20&#1091;&#1089;&#1083;%20&#1089;&#1074;&#1086;&#1073;&#1086;&#1076;&#1085;&#1099;&#1081;%20&#1087;&#1088;&#1086;&#1074;&#1077;&#1088;&#1077;&#1085;%202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kuchko\Documents%20and%20Settings\armen\My%20Documents\Companies\SPT\&#1041;&#1102;&#1076;&#1078;&#1077;&#1090;%202001\Bp2001est4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UGAR/Mult_usr/Balans/12-December/1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STER\UserSets\SUGAR\Mult_usr\Balans\A-Reestry\UP_OVER\03_2001\&#1050;&#1088;&#1077;&#1076;&#1080;&#1090;&#1099;_&#1089;&#1074;&#1086;&#10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ARHIVE\Tropyshko\&#1057;&#1083;&#1072;&#1074;&#1080;&#1095;\GAM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nikov\&#1086;&#1073;&#1084;&#1077;&#1085;\work\&#1076;&#1086;&#1082;&#1091;&#1084;&#1077;&#1085;&#1090;&#1099;\2004\&#1055;&#1048;&#1054;&#1043;&#1051;&#1054;&#1041;&#1040;&#1051;\&#1086;&#1090;&#1095;&#1077;&#1090;\&#1080;&#1085;&#1092;&#1086;&#1088;&#1084;&#1072;&#1094;&#1080;&#1103;\&#1055;&#1086;&#1083;&#1091;&#1095;&#1077;&#1085;&#1085;&#1072;&#1103;%20&#1080;&#1085;&#1092;&#1086;&#1088;&#1084;&#1072;&#1094;&#1080;&#1103;\S_20040331_GAA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%202004&#1075;6&#1084;&#1077;&#10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rozhnov\&#1056;&#1072;&#1073;&#1086;&#1095;&#1080;&#1081;%20&#1089;&#1090;&#1086;&#1083;\&#1088;&#1072;&#1089;&#1095;&#1077;&#1090;%20&#1085;&#1080;&#1082;&#1086;&#1083;&#1086;&#1103;&#1084;&#1089;&#1082;&#1072;&#1103;,%20&#1048;&#1085;&#1090;&#1077;&#1088;&#1090;&#1077;&#1089;&#1090;%20_%20&#1089;%20&#1080;&#1079;&#1084;&#1077;&#1085;&#1077;&#1085;&#1080;&#1103;&#1084;&#108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erver\LenSpecSMU\DOCUME~1\KAFTYR~1\LOCALS~1\Temp\&#1089;&#1074;&#1086;&#1076;&#1085;&#1072;&#1103;%20&#1090;&#1072;&#1073;&#1083;.%20&#1087;&#1086;%20&#1087;&#1086;&#1089;&#1090;&#1091;&#1087;&#1083;&#1077;&#1085;&#1080;&#1103;&#1084;%2031.03.04_AZ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Aho\archiv\Aho_2001\&#1058;&#1080;&#1093;&#1074;&#1080;&#1085;_&#1085;&#1077;&#1076;&#1074;&#1080;&#1078;\&#1090;&#1080;&#1093;_&#1084;&#1077;&#1090;&#1072;&#1083;&#1083;_6&#1096;&#1090;\&#1079;_&#1090;&#1080;&#1093;&#1074;&#1080;&#1085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kfiles\Public\&#1056;&#1054;&#1057;&#1054;&#1062;&#1045;&#1053;&#1050;&#1040;\&#1076;&#1083;&#1103;%20&#1088;&#1072;&#1073;&#1086;&#1090;&#1099;%20(&#1080;&#1079;%20&#1056;&#1054;)\&#1042;&#1086;&#1079;&#1085;&#1077;&#1089;&#1077;&#1085;&#1089;&#1082;&#1080;&#1081;\&#1056;&#1072;&#1089;&#1095;&#1077;&#1090;%20(&#1042;&#1086;&#1079;&#1085;&#1077;&#1089;&#1077;&#1085;&#1082;&#1089;&#1080;&#1081;,%2019.04.2008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ho\d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enia\c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kim\home\ARHIVE\Tropyshko\&#1057;&#1083;&#1072;&#1074;&#1080;&#1095;\GAM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&#1052;&#1086;&#1080;%20&#1076;&#1086;&#1082;&#1091;&#1084;&#1077;&#1085;&#1090;&#1099;\&#1041;&#1102;&#1076;&#1078;&#1077;&#1090;\&#1054;&#1090;&#1095;&#1077;&#1090;%20&#1079;&#1072;%202001%20&#1075;&#1086;&#107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2\LenSpecSMU\Invest\ZAKHAROV_A\AZ%20c%2024%20&#1092;&#1077;&#1074;&#1088;&#1072;&#1083;&#1103;%202005\02.%20&#1092;&#1080;&#1085;.&#1089;&#1083;&#1091;&#1078;&#1073;&#1099;\=&#1055;&#1051;&#1040;&#1053;=2006=(&#1080;&#1079;%20&#1089;&#1090;&#1072;&#1090;&#1080;&#1089;&#1090;&#1080;&#1082;&#1080;)\2006%20&#1084;&#1072;&#1081;\&#1055;&#1056;&#1054;&#1043;&#1053;&#1054;&#1047;%20&#1055;&#1056;&#1054;&#1044;&#1040;&#1046;%2031-05-2006+++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vladimirova\My%20Documents\&#1047;&#1072;&#1074;&#1086;&#1083;&#1078;&#1089;&#1082;\&#1088;&#1072;&#1089;&#1095;&#1077;&#1090;&#1099;%2025.0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&#1054;&#1094;&#1077;&#1085;&#1082;&#1080;\&#1043;&#1059;&#1048;&#1054;&#1053;\&#1050;&#1086;&#1083;&#1087;&#1080;&#1085;&#1086;_&#1090;&#1086;&#1088;&#1075;&#1086;&#1074;&#1083;&#1103;\&#1079;_&#1082;&#1086;&#1083;&#1087;_&#1091;&#1085;&#1080;&#1074;&#1077;&#1088;&#1089;_02_&#1057;&#1084;&#1086;&#1088;&#1075;&#1086;&#1085;&#1089;&#1082;&#1080;&#108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Ram\&#1058;&#1045;\Rasc%20$%20&#1089;&#1090;&#1088;&#1086;&#1080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rasovskaya\2000\05_00\02_00\Backup%20of%20BUDJ_02_00.xlk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2;&#1086;&#1080;%20&#1076;&#1086;&#1082;&#1091;&#1084;&#1077;&#1085;&#1090;&#1099;\&#1044;&#1054;&#1053;&#1057;&#1050;&#1054;&#1043;&#1054;\&#1040;&#1050;&#1058;&#1067;%20Kashtan.%20~&#1074;&#1085;.&#1101;&#108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data\&#1054;&#1094;&#1077;&#1085;&#1082;&#1072;\&#1053;&#1077;&#1076;&#1074;&#1080;&#1078;&#1080;&#1084;&#1086;&#1089;&#1090;&#1100;\&#1053;-310-06%20&#1075;&#1086;&#1089;&#1090;&#1080;&#1085;&#1080;&#1094;&#1072;%20&#1064;&#1077;&#1088;&#1088;&#1080;&#1079;&#1086;&#1085;%2010.2006\02%20&#1056;&#1040;&#1057;&#1063;&#1045;&#1058;\&#1056;&#1072;&#1089;&#1095;&#1077;&#1090;%20&#1075;&#1086;&#1089;&#1090;&#1080;&#1085;&#1080;&#1094;&#1072;%2010.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.bank\Rostbank\&#1040;&#1091;&#1076;&#1080;&#1090;-&#1056;&#1054;&#1057;&#1058;\&#1056;&#1054;&#1057;&#1058;_&#1090;&#1088;&#1072;&#1085;&#1089;&#1092;&#1086;&#1088;&#1084;&#1072;&#1094;&#1080;&#1103;\2017_4&#1082;&#1074;\&#1055;&#1088;&#1080;&#1083;_63_&#1096;&#1072;&#1073;&#1083;&#1086;&#108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Work\&#1054;&#1094;&#1077;&#1085;&#1082;&#1072;%202008\&#1057;&#1074;&#1103;&#1079;&#1100;&#1089;&#1090;&#1088;&#1086;&#1081;\&#1052;&#1043;&#1057;&#1057;_&#1052;&#1054;_&#1053;&#1072;&#1076;&#1077;&#1078;&#1076;&#1072;\&#1056;&#1072;&#1089;&#1095;&#1077;&#1090;&#1099;\&#1044;&#1083;&#1103;_&#1088;&#1072;&#1089;&#1095;&#1077;&#1090;&#1072;\&#1054;&#1087;&#1088;&#1086;&#1089;&#1085;&#1080;&#1082;%20&#1047;&#1040;&#1054;%20&#1052;&#1043;&#1057;&#1057;%20(&#1085;&#1072;%201.03.08&#107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Documents%20and%20Settings\penzina\&#1056;&#1072;&#1073;&#1086;&#1095;&#1080;&#1081;%20&#1089;&#1090;&#1086;&#1083;\&#1050;&#1085;&#1080;&#1075;&#107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sc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ITJUT~1\LOCALS~1\Temp\&#1073;&#1102;&#1076;&#1078;&#1077;&#1090;-&#1089;&#1084;&#1086;&#1083;&#1100;&#1085;&#1099;&#1081;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Ocenka\&#1055;&#1088;&#1086;&#1095;&#1077;&#1077;\&#1055;&#1088;&#1080;&#1084;&#1077;&#1088;&#1099;\&#1055;&#1072;&#1087;&#1082;&#1072;\&#1060;&#1080;&#1085;&#1072;&#1085;&#1089;-&#1051;&#1080;&#1079;&#1080;&#1085;&#1075;_3%20&#1087;&#1086;&#1076;&#1093;&#1086;&#1076;&#1072;-20.07.20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50;&#1055;&#1062;&#1053;\&#1088;&#1072;&#1089;&#1095;&#1077;&#1090;%20&#1087;&#1088;.%20&#1052;&#1080;&#1088;&#1072;,%20&#1074;&#1083;.127-12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&#1052;&#1086;&#1080;%20&#1076;&#1086;&#1082;&#1091;&#1084;&#1077;&#1085;&#1090;&#1099;\03.04\Ozenka\2003\V%20Titov_2003\00029_&#1057;&#1055;&#1050;%20&#1054;&#1078;&#1077;&#1088;&#1077;&#1083;&#1100;&#1077;&#1074;&#1089;&#1082;&#1080;&#1081;\00029_&#1054;&#1090;&#1095;&#1077;&#1090;\&#1052;&#1086;&#1080;%20&#1076;&#1086;&#1082;&#1091;&#1084;&#1077;&#1085;&#1090;&#1099;\&#1060;&#1080;&#1085;%20&#1072;&#1085;&#1072;&#1083;&#1080;&#10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DOCUME~1\ozenka11\LOCALS~1\Temp\Rar$DI01.497\&#1076;&#1074;&#1080;&#1078;&#1080;&#1084;&#1086;&#1077;%20&#1080;&#1084;-&#1074;&#1086;_&#1092;&#1072;&#1088;&#1084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8;&#1072;&#1089;&#1095;&#1077;&#1090;%20&#1086;&#1073;&#1097;&#1080;&#1081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alon.local\etalongroup\15.%20Valuation\Projects\_CURRENT%20PROJECTS\UFG_2015\Strastnoy\07_Calculation\Turk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E\Documents%20and%20Settings\voroninaa\&#1056;&#1072;&#1073;&#1086;&#1095;&#1080;&#1081;%20&#1089;&#1090;&#1086;&#1083;\2009\&#1056;&#1040;&#1055;%202009\&#1076;&#1083;&#1103;%20&#1086;&#1090;&#1087;&#1088;&#1072;&#1074;&#1082;&#1080;\&#1043;&#1054;&#1044;&#1054;&#1042;&#1054;&#1049;%20&#1041;&#1070;&#1044;&#1046;&#1045;&#1058;%20&#1056;&#1040;&#105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fsvrmow02\shared\&#1040;&#1076;&#1084;&#1080;&#1085;&#1080;&#1089;&#1090;&#1088;&#1072;&#1090;&#1080;&#1074;&#1085;&#1072;&#1103;%20&#1087;&#1072;&#1087;&#1082;&#1072;\&#1050;&#1072;&#1096;&#1080;&#1088;&#1089;&#1082;&#1080;&#1081;\&#1051;&#1080;&#1086;&#108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CHUNK\depts$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&#1086;&#1090;&#1095;&#1077;&#1090;&#1099;%20&#1072;&#1088;&#1093;&#1080;&#1074;%2011\&#1060;&#1057;&#1041;\&#1090;&#1077;&#1082;&#1089;&#1090;\&#1054;&#1041;&#1054;&#1056;&#1059;&#1044;&#1054;&#1042;&#1040;&#1053;&#1048;&#1045;%20&#1057;&#1040;&#1056;&#1040;&#1058;&#1054;&#104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omoshnik4/Desktop/&#1056;&#1086;&#1076;&#1080;&#1085;&#1072;%20&#1088;&#1072;&#1089;&#1095;&#1077;&#1090;%20&#1076;&#1074;&#1080;&#1078;&#1080;&#1084;&#1086;&#1075;&#1086;%20(&#1055;&#1056;&#1054;&#1042;&#1045;&#1056;&#1045;&#1053;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data\&#1052;&#1086;&#1080;%20&#1076;&#1086;&#1082;&#1091;&#1084;&#1077;&#1085;&#1090;&#1099;\&#1054;&#1058;&#1063;&#1045;&#1058;&#1067;\&#1045;&#1082;&#1072;&#1090;&#1077;&#1088;&#1080;&#1085;&#1073;&#1091;&#1088;&#1075;&#1089;&#1082;&#1080;&#1081;%20&#1079;&#1072;&#1074;&#1086;&#1076;\&#1054;&#1057;%20&#1045;&#1082;&#1072;&#1090;&#1077;&#1088;&#1080;&#1085;&#1073;&#1091;&#1088;&#1075;&#1089;&#1082;&#1080;&#1081;%20&#1079;&#1072;&#1074;&#1086;&#107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&#1092;&#1072;&#1081;&#1083;&#1099;%20alex\&#1072;&#1088;&#1073;&#1080;&#1090;&#1088;&#1072;&#1078;&#1085;&#1099;&#1081;%20&#1091;&#1087;&#1088;&#1072;&#1074;&#1083;&#1103;&#1102;&#1097;&#1080;&#1081;\&#1082;&#1080;&#1085;&#1075;&#1080;&#1089;&#1077;&#1087;&#1087;\&#1088;&#1072;&#1089;&#1095;&#1077;&#1090;%20&#1089;&#1090;&#1086;&#1080;&#1084;&#1086;&#1089;&#1090;&#108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73;&#1098;&#1077;&#1082;&#1090;&#1099;%20&#1085;&#1072;&#1093;&#1086;&#1076;&#1103;&#1097;&#1080;&#1077;&#1089;&#1103;%20&#1074;%20&#1089;&#1086;&#1073;&#1089;&#1090;&#1074;&#1077;&#1085;&#1085;&#1086;&#1089;&#1090;&#1080;%20&#1075;&#1082;%20&#1044;&#105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VlaSem\Work_SWA_AVERS\&#1076;&#1083;&#1103;%20&#1074;&#1083;&#1072;&#1076;&#1080;&#1089;&#1083;&#1072;&#1074;&#1072;\&#1088;&#1099;&#1085;_&#1089;&#1090;_&#1079;&#1077;&#1083;&#1077;&#1085;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12100\&#1084;&#1086;&#1080;%20&#1076;&#1086;&#1082;&#1091;&#1084;&#1077;&#1085;&#1090;&#1099;\Documents%20and%20Settings\Mazaeva_S\&#1052;&#1086;&#1080;%20&#1076;&#1086;&#1082;&#1091;&#1084;&#1077;&#1085;&#1090;&#1099;\&#1053;&#1086;&#1074;&#1072;&#1103;%20&#1087;&#1072;&#1087;&#1082;&#1072;\&#1044;&#1086;&#1083;&#1078;&#1085;&#1080;&#1082;&#1080;%20&#1089;&#1090;.&#1073;&#1072;&#1079;&#107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enia\c\&#1052;&#1086;&#1080;%20&#1076;&#1086;&#1082;&#1091;&#1084;&#1077;&#1085;&#1090;&#1099;\&#1047;&#1077;&#1084;&#1083;&#1103;%202000\&#1047;&#1074;&#1078;&#1076;%20&#1082;&#1074;.%206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_!Documents\&#1054;&#1094;&#1077;&#1085;&#1082;&#1080;\2000\&#1090;&#1086;&#1088;&#1075;.&#1076;&#1086;&#1084;%20&#1040;&#1088;&#1086;&#1084;&#1072;\&#1088;&#1072;&#1089;&#1089;&#1095;&#1077;&#1090;&#1040;&#1088;&#1086;&#1084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\finec\&#1091;&#1087;&#1088;&#1072;&#1074;&#1083;&#1077;&#1085;&#1095;&#1077;&#1089;&#1082;&#1080;&#1081;%20&#1091;&#1095;&#1077;&#1090;\&#1047;&#1072;&#1082;&#1088;&#1099;&#1090;&#1080;&#1077;%20&#1074;%201&#1057;\&#1089;&#1074;&#1077;&#1076;&#1077;&#1085;&#1080;&#1077;%20&#1086;&#1090;&#1095;&#1077;&#1090;&#1086;&#1074;%20&#1076;&#1083;&#1103;%20&#1064;%20&#1087;&#1086;%20ree%20&#1080;%201C\&#1084;&#1072;&#1088;&#1090;\&#1052;&#1040;&#1056;&#1058;%2004.03.15%20&#1048;&#1044;&#1045;&#1040;&#1051;%20&#1087;&#1088;&#1086;&#1074;&#1077;&#1088;&#1082;&#1072;\REE-03KV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zenkan01\&#1040;&#1088;&#1093;&#1080;&#1074;%20&#1051;&#1072;&#1076;&#1072;&#1085;&#1086;&#1074;%20&#1051;&#1077;&#1086;&#1085;&#1080;&#1076;\Documents%20and%20Settings\kruchininaEM.MOSCOW\Local%20Settings\Temporary%20Internet%20Files\OLK5\&#1072;&#1085;&#1072;&#1083;&#1086;&#1075;_&#1079;&#1077;&#108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ktsvdc2\Work\Temp\notes5DA91C\&#1053;&#1086;&#1074;&#1099;&#1081;%20&#1086;&#1073;&#1097;&#1080;&#1081;%20&#1096;&#1072;&#1073;&#1083;&#1086;&#108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ptune\Home\WINDOWS\TEMP\&#1052;&#1072;&#1088;&#1080;&#1085;&#1072;\&#1054;&#1090;&#1095;&#1077;&#1090;&#1099;%20&#1087;&#1086;%20&#1086;&#1094;&#1077;&#1085;&#1082;&#1077;\&#1064;&#1072;&#1084;&#1087;&#1072;&#1085;&#1089;&#1082;&#1086;&#1077;_&#1045;&#1042;&#1064;&#1050;\MODUL@~1\&#1060;&#1080;&#1085;%20&#1072;&#1085;&#1072;&#1083;&#1080;&#107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&#1085;&#1072;%2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6.%20Consulting\PROJECTS_Closed\2015\Airports%20of%20Regions\&#1084;&#1072;&#1090;&#1077;&#1088;&#1080;&#1072;&#1083;&#1099;%20&#1076;&#1083;&#1103;%20&#1074;&#1089;&#1090;&#1088;&#1077;&#1095;&#1080;\&#1092;&#1080;&#1085;%20&#1084;&#1086;&#1076;&#1077;&#1083;&#1080;\others\resid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ORZIL~1\LOCALS~1\Temp\05.05.20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9\&#1057;&#1077;&#1085;&#1090;&#1103;&#1073;&#1088;&#1100;\&#1053;&#1077;&#1076;&#1074;&#1080;&#1078;&#1080;&#1084;&#1086;&#1089;&#1090;&#1100;\&#1045;&#1074;&#1088;&#1086;-&#1061;&#1086;&#1083;&#1076;&#1080;&#1085;&#1075;\&#1045;&#1074;&#1088;&#1086;-&#1061;&#1086;&#1083;&#1076;&#1080;&#1085;&#1075;%20&#1080;&#1089;&#1087;&#1088;&#1072;&#1074;&#1083;.%20&#1053;&#1054;&#1071;&#1041;&#1056;&#1068;\&#1055;&#1080;&#1090;&#1086;&#1085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49;&#1086;&#1088;&#1082;%20&#1044;&#1077;&#1074;&#1077;&#1083;&#1086;&#1087;&#1084;&#1077;&#1085;&#1090;%20&#1075;&#1088;&#1091;&#1087;&#1087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erver\&#1060;&#1057;&#1050;-&#1057;&#1050;\&#1060;&#1080;&#1085;&#1072;&#1085;&#1089;&#1086;&#1074;&#1086;-&#1101;&#1082;&#1086;&#1085;&#1086;&#1084;&#1080;&#1095;&#1077;&#1089;&#1082;&#1080;&#1081;%20&#1076;&#1077;&#1087;&#1072;&#1088;&#1090;&#1072;&#1084;&#1077;&#1085;&#1090;\&#1055;&#1083;&#1072;&#1085;&#1086;&#1074;&#1086;-&#1101;&#1082;&#1086;&#1085;&#1086;&#1084;&#1080;&#1095;&#1077;&#1089;&#1082;&#1080;&#1081;%20&#1086;&#1090;&#1076;&#1077;&#1083;\&#1043;&#1088;&#1072;&#1092;&#1080;&#1082;&#1080;%20&#1089;&#1090;&#1088;&#1086;&#1080;&#1090;&#1077;&#1083;&#1100;&#1089;&#1090;&#1074;&#1072;\&#1044;&#1077;&#1082;&#1072;&#1073;&#1088;&#1100;%202002\&#1040;&#1088;&#1093;&#1080;&#1074;%20&#1075;&#1088;&#1072;&#1092;&#1080;&#1082;&#1086;&#1074;%20&#1089;&#1090;&#1088;&#1086;&#1080;&#1090;&#1077;&#1083;&#1100;&#1089;&#1074;&#1090;&#1072;\&#1043;&#1088;&#1072;&#1092;&#1080;&#1082;&#1080;%20&#1043;&#1072;&#1074;&#1088;&#1089;&#1082;&#1086;&#1081;%2015-1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E\DOCUME~1\Bukseev\LOCALS~1\Temp\bat\3130076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056;&#1040;&#1041;&#1054;&#1058;&#1040;/2016/03%202016/&#1056;&#1086;&#1076;&#1080;&#1085;&#1072;/07.04.2016/&#1047;&#1072;&#1090;&#1088;&#1072;&#1090;&#1085;%20&#1096;&#1072;&#1073;&#1083;&#1086;&#1085;%20&#1085;&#1077;&#1076;&#1074;&#1080;&#1078;&#1082;&#1080;%20&#1086;&#1090;%2007.04.2016%20&#1087;&#1088;&#1086;&#1089;&#1090;&#1072;&#1074;&#1080;&#1083;%20&#1074;&#1089;&#1077;%20&#1089;&#1090;&#1086;&#1080;&#1084;&#1086;&#1089;&#1090;&#1080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From%20Moscow\160512_Vol7_finmodel_Retail_5Y-30-70_Rubl-Arch.xlsb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erina\d\WIN\&#1056;&#1072;&#1073;&#1086;&#1095;&#1080;&#1081;%20&#1089;&#1090;&#1086;&#1083;\&#1062;&#1077;&#1093;%2013_&#1086;&#1073;&#1086;&#1088;&#1091;&#107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3C835DF\&#1044;&#1086;&#1075;&#1086;&#1074;&#1086;&#1088;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2;&#1088;&#1077;&#1085;&#1076;&#1072;_&#1089;&#1088;&#1072;&#1074;&#1085;&#1080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1;&#1070;&#1044;&#1052;&#1048;&#1051;&#1040;\C\&#1052;&#1086;&#1080;%20&#1076;&#1086;&#1082;&#1091;&#1084;&#1077;&#1085;&#1090;&#1099;\GERASIMCHUK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fsvrmow02\shared\&#1044;&#1091;&#1073;&#1083;&#1077;&#1088;.(&#1058;&#1077;&#1082;&#1091;&#1097;&#1080;&#1077;%20&#1087;&#1088;&#1086;&#1077;&#1082;&#1090;&#1099;)\&#1051;&#1080;&#1086;&#1085;%20(&#1063;&#1080;&#1075;&#1072;&#1089;&#1086;&#1074;&#1086;%20II.2)\&#1095;&#1077;&#1088;&#1085;&#1086;&#1074;&#1080;&#1082;&#1080;\CF&#1069;&#1082;&#1089;&#1087;&#1077;&#1088;&#1090;USD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kfiles\Public\&#1052;&#1086;&#1080;%20&#1076;&#1086;&#1082;&#1091;&#1084;&#1077;&#1085;&#1090;&#1099;\OCENCA\UFA\&#1052;&#1086;&#1080;%20&#1076;&#1086;&#1082;&#1091;&#1084;&#1077;&#1085;&#1090;&#1099;\&#1060;&#1080;&#1085;%20&#1072;&#1085;&#1072;&#1083;&#1080;&#107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amp;%20IAS%20Group%20TB%20&amp;%20Reports%20Q3%20200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yandex.ru/DOCUME~1/BORZIL~1/LOCALS~1/Temp/05.05.20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12100\&#1084;&#1086;&#1080;%20&#1076;&#1086;&#1082;&#1091;&#1084;&#1077;&#1085;&#1090;&#1099;\&#1082;&#1074;&#1072;&#1088;&#1090;&#1080;&#1088;&#1086;&#1075;&#1088;&#1072;&#1084;&#1084;&#1099;%20&#1087;&#1086;%20&#1086;&#1073;&#1098;&#1077;&#1082;&#1090;&#1072;&#1084;\&#1042;.&#1054;.,%20&#1052;&#1060;&#1058;&#1062;,%20&#1082;&#1074;&#1072;&#1088;&#1090;&#1072;&#1083;%203&#1040;II,%20&#1082;&#1086;&#1088;&#1087;&#1091;&#1089;%203&#104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2;&#1099;&#1087;&#1086;&#1083;&#1085;&#1077;&#1085;&#1085;&#1099;&#1077;\&#1043;&#1088;&#1072;&#1078;&#1076;&#1072;&#1085;&#1082;&#1072;-&#1057;&#1080;&#1090;&#1080;\&#1055;&#1086;&#1089;&#1083;&#1077;&#1076;&#1085;&#1103;&#1103;%20&#1074;&#1077;&#1088;&#1089;&#1080;&#1103;\&#1058;&#1069;&#1054;%20&#1043;&#1088;&#1072;&#1078;&#1076;&#1072;&#1085;&#1082;&#1072;%20&#1057;&#1080;&#1090;&#1080;%2020%2002%20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4;&#1077;&#1085;&#1082;&#1072;\11.%20&#1041;&#1048;&#1047;&#1053;&#1045;&#1057;\&#1055;&#1088;&#1086;&#1077;&#1082;&#1090;&#1099;\2015\&#1050;&#1088;&#1072;&#1089;&#1085;&#1086;&#1076;&#1072;&#1088;%20&#1040;&#1075;&#1088;&#1086;%20-%20&#1086;&#1094;&#1077;&#1085;&#1082;&#1072;%20&#1093;&#1086;&#1083;&#1076;&#1080;&#1085;&#1075;&#1072;%2031.10.2015\&#1056;&#1072;&#1073;&#1086;&#1095;&#1072;&#1103;\&#1056;&#1072;&#1089;&#1095;&#1077;&#1090;\1.1%20&#1041;&#1077;&#1083;&#1086;&#1077;\DCF_&#1041;&#1077;&#1083;&#1086;&#1077;_14.12.2015_v-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mexp-server\&#1058;&#1045;&#1050;&#1059;&#1065;&#1048;&#1045;%20&#1055;&#1056;&#1054;&#1045;&#1050;&#1058;&#1067;\_______&#1052;&#1054;&#1048;%20&#1088;&#1072;&#1079;&#1088;&#1072;&#1073;&#1086;&#1090;&#1082;&#1080;_(main%20!!!)\!!!!_2-&#1081;%20&#1101;&#1090;&#1072;&#1087;_&#1047;&#1072;&#1082;&#1083;&#1102;&#1095;&#1077;&#1085;&#1080;&#1077;\&#1056;&#1072;&#1073;&#1086;&#1095;&#1077;&#1077;%20&#1084;&#1077;&#1089;&#1090;&#1086;%20&#1087;&#1086;%202-&#1084;&#1091;%20&#1101;&#1090;&#1072;&#1087;&#1091;\4_&#1056;&#1077;&#1077;&#1089;&#1090;&#1088;%20_new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mbrovsky_i\Local%20Settings\Temp\&#1055;&#1083;&#1072;&#1090;&#1077;&#1078;&#1080;%20&#1079;&#1072;%20&#1072;&#1087;&#1088;&#1077;&#1083;&#1100;%202003%20&#107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&#1061;&#1083;&#1086;&#1088;&#1085;&#1099;&#1081;\2005%20&#1075;&#1086;&#1076;\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43;&#1088;&#1072;&#1078;&#1076;&#1072;&#1085;&#1082;&#1072;-&#1057;&#1080;&#1090;&#1080;\&#1058;&#1069;&#1054;%20&#1043;&#1088;&#1072;&#1078;&#1076;&#1072;&#1085;&#1082;&#1072;%20&#1057;&#1080;&#1090;&#1080;10&#1084;&#1083;&#108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5;&#1077;&#1090;&#1088;&#1086;&#1079;&#1072;&#1074;&#1086;&#1076;&#1089;&#1082;&#1072;&#1103;\&#1058;&#1069;&#1054;%20&#1055;&#1077;&#1090;&#1088;&#1086;&#1079;&#1072;&#1074;&#1086;&#1076;&#1089;&#1082;&#1072;&#1103;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_!Documents\&#1052;&#1086;&#1080;%20&#1076;&#1086;&#1082;&#1091;&#1084;&#1077;&#1085;&#1090;&#1099;\&#1040;&#1074;&#1077;&#1088;&#1089;\&#1043;&#1059;&#1048;&#1054;&#1053;\&#1053;&#1080;&#1080;&#1101;&#1092;&#1072;\&#1079;&#1072;&#1090;&#1088;&#1072;&#1090;_&#1085;&#1080;&#1080;&#1101;&#1092;&#1072;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Documents%20and%20Settings\audit7.AUDIT7\&#1056;&#1072;&#1073;&#1086;&#1095;&#1080;&#1081;%20&#1089;&#1090;&#1086;&#1083;\&#1088;&#1072;&#1073;&#1086;&#1095;&#1072;&#1103;%202\&#1044;&#1086;&#1084;&#1072;\&#1044;&#1086;&#1084;&#1072;\&#1056;&#1072;&#1089;&#1095;&#1077;&#1090;&#1099;%20&#1072;&#1088;&#1083;&#1077;&#1082;&#1080;&#1085;&#1086;\HOTEL_C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ARHIVE\Tropyshko\&#1053;&#1077;&#1079;&#1072;&#1074;&#1055;&#1088;&#1077;&#1089;&#1089;\PRAVDA-NZ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3;&#1045;&#1042;&#1057;&#1050;&#1054;&#1043;&#1054;,4%20(7&#1101;&#1090;&#1072;&#1078;.)%20-%20&#1089;&#1084;&#1077;&#1090;&#1099;\Y%20&#1053;&#1077;&#1074;,4%20-%20&#1089;&#1084;&#1077;&#1090;&#1072;%20&#1057;&#1058;&#1056;&#1054;&#1048;&#105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~1\ozenka11\LOCALS~1\Temp\Rar$DI01.497\&#1076;&#1074;&#1080;&#1078;&#1080;&#1084;&#1086;&#1077;%20&#1080;&#1084;-&#1074;&#1086;_&#1092;&#1072;&#1088;&#1084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ARHIVE\Tropyshko\&#1057;&#1083;&#1072;&#1074;&#1080;&#1095;\GAM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Баланс (Ф1)"/>
      <sheetName val="ЗАО_н_ит"/>
      <sheetName val="Main"/>
      <sheetName val="Journals"/>
      <sheetName val="Сдача "/>
      <sheetName val="П"/>
      <sheetName val="карточка"/>
      <sheetName val="затраты"/>
      <sheetName val="FES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Исходные условия (константы)"/>
      <sheetName val="анализ площад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дамент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Фундамент АКТ-АПР"/>
      <sheetName val="ФундаментЗП"/>
      <sheetName val="Смета ТРЕТ.ОТДЕЛКА (6)"/>
      <sheetName val=" ТРЕТ.ОТДЕЛКА ЗП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 БордюрАкт-АПР"/>
      <sheetName val="Кровля"/>
      <sheetName val="Сантехника АКТ-А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8">
          <cell r="F8" t="str">
            <v>Е27-33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Затраты"/>
      <sheetName val="План продаж"/>
      <sheetName val="ПДР"/>
      <sheetName val="ПДДС"/>
      <sheetName val="Показатели"/>
      <sheetName val="NPV Chart"/>
      <sheetName val="Лист2"/>
      <sheetName val="Затр с инфл (с инж)"/>
      <sheetName val="ПДДС-корпуса"/>
      <sheetName val="cur_projects pl"/>
      <sheetName val="Сводная ЛССМУ"/>
      <sheetName val="POW"/>
      <sheetName val="Оплата по графикам"/>
      <sheetName val="Сводный-затраты"/>
      <sheetName val="sараметры"/>
      <sheetName val="Narratives-Subsidiarie"/>
      <sheetName val="input data"/>
      <sheetName val="лист4"/>
      <sheetName val="Черновик"/>
      <sheetName val="summary"/>
      <sheetName val="Таблица"/>
      <sheetName val="Breakdown CAPEX (PBC)"/>
      <sheetName val="гр+"/>
      <sheetName val="ВводД"/>
      <sheetName val="Лист1-ЛССМУ"/>
      <sheetName val="План_продаж"/>
      <sheetName val="NPV_Chart"/>
      <sheetName val="cur_projects_pl"/>
      <sheetName val="Сводная_ЛССМУ"/>
      <sheetName val="Затр_с_инфл_(с_инж)"/>
      <sheetName val="Оплата_по_графикам"/>
      <sheetName val="input_data"/>
      <sheetName val="Breakdown_CAPEX_(PBC)"/>
      <sheetName val="Investment summary Ricci"/>
      <sheetName val="Анализ"/>
      <sheetName val="inputs"/>
      <sheetName val=" n finansal eğri"/>
      <sheetName val="TABLO-3"/>
      <sheetName val="Итог по НПО "/>
      <sheetName val="план дск"/>
      <sheetName val="Assumptons"/>
      <sheetName val="sal"/>
      <sheetName val="каскад,5"/>
      <sheetName val="Списки"/>
      <sheetName val="бог"/>
      <sheetName val="мфтц,к.4"/>
      <sheetName val="СПЧ-кредит Альфабанк"/>
      <sheetName val="свед"/>
      <sheetName val="План_продаж1"/>
      <sheetName val="NPV_Chart1"/>
      <sheetName val="cur_projects_pl1"/>
      <sheetName val="Сводная_ЛССМУ1"/>
      <sheetName val="Затр_с_инфл_(с_инж)1"/>
      <sheetName val="Оплата_по_графикам1"/>
      <sheetName val="input_data1"/>
      <sheetName val="Breakdown_CAPEX_(PBC)1"/>
      <sheetName val="Investment_summary_Ricci"/>
      <sheetName val="Расчёт 2005"/>
      <sheetName val="Данные по проекту"/>
      <sheetName val="Лист5"/>
      <sheetName val="План_продаж2"/>
      <sheetName val="NPV_Chart2"/>
      <sheetName val="Затр_с_инфл_(с_инж)2"/>
      <sheetName val="cur_projects_pl2"/>
      <sheetName val="Сводная_ЛССМУ2"/>
      <sheetName val="Оплата_по_графикам2"/>
      <sheetName val="input_data2"/>
      <sheetName val="Breakdown_CAPEX_(PBC)2"/>
      <sheetName val="Investment_summary_Ricci1"/>
      <sheetName val="Итог_по_НПО_"/>
      <sheetName val="_n_finansal_eğri"/>
      <sheetName val="план_дск"/>
      <sheetName val="мфтц,к_4"/>
      <sheetName val="СПЧ-кредит_Альфабанк"/>
      <sheetName val="Расчёт_2005"/>
      <sheetName val="Справочники"/>
      <sheetName val="1.1 Inputs"/>
      <sheetName val="Cash2"/>
      <sheetName val="Z"/>
      <sheetName val="lob"/>
      <sheetName val="Отчет о реализации площадей"/>
      <sheetName val="Assumptions"/>
      <sheetName val="Cinema Calc RC Mezzanine"/>
      <sheetName val="parite"/>
      <sheetName val="RSA_2003_IS-5"/>
      <sheetName val="План_продаж3"/>
      <sheetName val="NPV_Chart3"/>
      <sheetName val="Затр_с_инфл_(с_инж)3"/>
      <sheetName val="cur_projects_pl3"/>
      <sheetName val="Сводная_ЛССМУ3"/>
      <sheetName val="budget  material"/>
      <sheetName val="ekiprin ayrilmasii -sbs"/>
      <sheetName val="RC-BALTIKA Butce Formu"/>
      <sheetName val="kesif"/>
      <sheetName val="Объекты"/>
      <sheetName val="Реестр выполненных работ"/>
      <sheetName val="U-factors - calc"/>
      <sheetName val="data"/>
      <sheetName val="b25 (m350) beton maliyet analiz"/>
      <sheetName val="Data Sheet"/>
      <sheetName val="Direct Budget"/>
    </sheetNames>
    <sheetDataSet>
      <sheetData sheetId="0" refreshError="1"/>
      <sheetData sheetId="1" refreshError="1">
        <row r="22">
          <cell r="B22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 refreshError="1"/>
      <sheetData sheetId="98" refreshError="1"/>
      <sheetData sheetId="99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Черновик"/>
      <sheetName val="каскад,5"/>
      <sheetName val="бог"/>
      <sheetName val="мфтц,к.4"/>
      <sheetName val="Лист1"/>
      <sheetName val="гр+"/>
      <sheetName val="ВводД"/>
      <sheetName val="inputs"/>
      <sheetName val="cur_projects pl"/>
      <sheetName val="Narratives-Subsidiarie"/>
      <sheetName val="Таблица"/>
      <sheetName val="summary"/>
      <sheetName val="Сводная ЛССМУ"/>
      <sheetName val="лист4"/>
      <sheetName val="Breakdown CAPEX (PBC)"/>
      <sheetName val="input data"/>
      <sheetName val="график_затрат"/>
      <sheetName val="План_продаж"/>
      <sheetName val="оплата_по_графикам"/>
      <sheetName val="мфтц,к_4"/>
      <sheetName val="cur_projects_pl"/>
      <sheetName val="input_data"/>
      <sheetName val="Forecast"/>
      <sheetName val="revenue"/>
      <sheetName val="импортеры99"/>
      <sheetName val="импортеры96"/>
      <sheetName val="импортеры97"/>
      <sheetName val="POW"/>
      <sheetName val="Отчет о реализации площадей"/>
      <sheetName val="Расчёт 2005"/>
      <sheetName val="comps"/>
      <sheetName val="C.1.D.1.РСП"/>
      <sheetName val="спр (2)"/>
      <sheetName val="О1"/>
      <sheetName val="Сводный лист"/>
      <sheetName val="справочник"/>
      <sheetName val="график_затрат1"/>
      <sheetName val="План_продаж1"/>
      <sheetName val="оплата_по_графикам1"/>
      <sheetName val="мфтц,к_41"/>
      <sheetName val="cur_projects_pl1"/>
      <sheetName val="input_data1"/>
      <sheetName val="Сводная_ЛССМУ"/>
      <sheetName val="Breakdown_CAPEX_(PBC)"/>
      <sheetName val="Отчет_о_реализации_площадей"/>
      <sheetName val="Земля"/>
      <sheetName val="Справочник Статей затрат"/>
      <sheetName val="Списки"/>
      <sheetName val="график_затрат2"/>
      <sheetName val="План_продаж2"/>
      <sheetName val="оплата_по_графикам2"/>
      <sheetName val="мфтц,к_42"/>
      <sheetName val="Сводная_ЛССМУ1"/>
      <sheetName val="cur_projects_pl2"/>
      <sheetName val="input_data2"/>
      <sheetName val="Breakdown_CAPEX_(PBC)1"/>
      <sheetName val="Отчет_о_реализации_площадей1"/>
      <sheetName val="C_1_D_1_РСП"/>
      <sheetName val="Расчёт_2005"/>
      <sheetName val="Сводный_лист"/>
      <sheetName val="Стоимости"/>
      <sheetName val=" n finansal eğri"/>
      <sheetName val="TABLO-3"/>
      <sheetName val="RC-BALTIKA Butce Formu"/>
      <sheetName val="tesİsat"/>
      <sheetName val="ekiprin ayrilmasii -sbs"/>
      <sheetName val="Deduction"/>
      <sheetName val="график_затрат3"/>
      <sheetName val="План_продаж3"/>
      <sheetName val="оплата_по_графикам3"/>
      <sheetName val="Materials"/>
      <sheetName val="mp-var-001"/>
      <sheetName val="electric mechanic"/>
      <sheetName val="data"/>
      <sheetName val="hyndai man-power -  c.n.c"/>
      <sheetName val="kesif"/>
      <sheetName val="share price 2002"/>
      <sheetName val="ADAMSAAT MAL."/>
      <sheetName val="Kapak"/>
      <sheetName val="Data Input"/>
      <sheetName val="Beton Maliyet Analizi"/>
      <sheetName val="fitoutconfcentre"/>
      <sheetName val="№1_Отчет о реализации площадей"/>
      <sheetName val="Scenar"/>
      <sheetName val="Лист1-ЛССМУ"/>
    </sheetNames>
    <sheetDataSet>
      <sheetData sheetId="0" refreshError="1"/>
      <sheetData sheetId="1" refreshError="1">
        <row r="16">
          <cell r="B16">
            <v>0.24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 refreshError="1"/>
      <sheetData sheetId="91" refreshError="1"/>
      <sheetData sheetId="92"/>
      <sheetData sheetId="93" refreshError="1"/>
      <sheetData sheetId="94"/>
      <sheetData sheetId="95"/>
      <sheetData sheetId="9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Ик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тавка в Введение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8"/>
      <sheetName val="Таблица 9"/>
      <sheetName val="Таблица 10и11"/>
      <sheetName val="Ставка Аренды"/>
      <sheetName val="Коинвест"/>
      <sheetName val="ТЭ-зоны"/>
      <sheetName val="поток"/>
      <sheetName val="ДАННЫЕ"/>
      <sheetName val="Общие_данные"/>
      <sheetName val="Balance"/>
      <sheetName val="Лист3"/>
      <sheetName val="Ар2"/>
      <sheetName val="Парам"/>
      <sheetName val="Служебный"/>
      <sheetName val="Расчет_стоимости"/>
      <sheetName val="ШАБЛОН_РАСЧЕТЫ_old1"/>
      <sheetName val="Общие данные ОС"/>
      <sheetName val="Индексы г. Москва"/>
      <sheetName val="СС_зданий"/>
      <sheetName val="Список основных  на 01.04.200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/>
      <sheetData sheetId="1">
        <row r="5">
          <cell r="A5" t="str">
            <v>АНО</v>
          </cell>
          <cell r="B5" t="str">
            <v>да</v>
          </cell>
          <cell r="C5" t="str">
            <v>активно</v>
          </cell>
        </row>
        <row r="6">
          <cell r="B6" t="str">
            <v>АФК</v>
          </cell>
          <cell r="C6" t="str">
            <v>ст.создания</v>
          </cell>
        </row>
        <row r="7">
          <cell r="C7" t="str">
            <v>ФХД нет</v>
          </cell>
        </row>
        <row r="8">
          <cell r="C8" t="str">
            <v>банкр.</v>
          </cell>
        </row>
        <row r="9">
          <cell r="C9" t="str">
            <v>ст.ликвид.</v>
          </cell>
        </row>
        <row r="10">
          <cell r="C10" t="str">
            <v>ликвид.</v>
          </cell>
        </row>
        <row r="11">
          <cell r="C11" t="str">
            <v>продано</v>
          </cell>
        </row>
        <row r="12">
          <cell r="C12" t="str">
            <v>ст.продажи</v>
          </cell>
        </row>
        <row r="13">
          <cell r="C13" t="str">
            <v>списано</v>
          </cell>
        </row>
      </sheetData>
      <sheetData sheetId="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F"/>
      <sheetName val="HC_ppt"/>
      <sheetName val="CSCCincSKR"/>
      <sheetName val="PFC-PYX1"/>
      <sheetName val="#ССЫЛКА"/>
      <sheetName val="17.Налог"/>
      <sheetName val="Main"/>
      <sheetName val="Списки"/>
      <sheetName val="current_balance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Шаблоны"/>
      <sheetName val="Удм-3"/>
      <sheetName val="Удм-1"/>
      <sheetName val="Удм-2"/>
      <sheetName val="Ф-2 ЮССС"/>
      <sheetName val="Ф-1 ЮССС"/>
      <sheetName val="Ф.2"/>
      <sheetName val="Актив"/>
      <sheetName val="Бюджет"/>
      <sheetName val="PNL"/>
      <sheetName val="Структура расходов"/>
      <sheetName val="ф.29мес."/>
      <sheetName val="InpC"/>
      <sheetName val="Gen"/>
      <sheetName val="&lt;&lt;&lt;EXHIBITS&gt;&gt;&gt;"/>
      <sheetName val="CREDIT STATS"/>
      <sheetName val="Список"/>
      <sheetName val="RSOILBAL"/>
      <sheetName val="Lib"/>
      <sheetName val="Service"/>
      <sheetName val="Лист2"/>
      <sheetName val="Статьи затрат и ЦФО"/>
      <sheetName val="Расчет VAS (руб.)"/>
      <sheetName val="Справочник"/>
      <sheetName val="БК"/>
      <sheetName val="макропараметры"/>
      <sheetName val="Mapping"/>
      <sheetName val="INPUT EXPENSES"/>
      <sheetName val="Assum"/>
      <sheetName val="Таблица"/>
      <sheetName val="Настройка"/>
      <sheetName val="List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Графики"/>
      <sheetName val="Коды"/>
      <sheetName val="Контрагенты"/>
      <sheetName val="Статьи ДДС 2017"/>
      <sheetName val="Brif_zdanie"/>
      <sheetName val="List"/>
      <sheetName val="Dropdown list"/>
      <sheetName val="вид"/>
      <sheetName val="Прайс Лист"/>
      <sheetName val="проект - отдел"/>
      <sheetName val="инфо"/>
      <sheetName val="Лист6"/>
      <sheetName val="Списки_и_цели"/>
      <sheetName val="Описание_полей_и_показателей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ИСХОДНИК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рганизации"/>
      <sheetName val="база"/>
      <sheetName val="Titles"/>
      <sheetName val="Filters"/>
      <sheetName val="Dashboard"/>
      <sheetName val="Tech"/>
      <sheetName val="Source"/>
      <sheetName val="Serv"/>
      <sheetName val="Проекты"/>
      <sheetName val="DIN"/>
      <sheetName val="статьи"/>
      <sheetName val="Контрагент_1"/>
      <sheetName val="Sheet2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ЦФО_New"/>
      <sheetName val="Спр"/>
      <sheetName val="перечень статей затрат PNL"/>
      <sheetName val="ЦФО"/>
      <sheetName val="Справочник БКВ"/>
      <sheetName val="Системный"/>
      <sheetName val="Сотрудники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мэппинг PL_CF"/>
      <sheetName val="цфо_МВЗ"/>
      <sheetName val="Расчёт"/>
      <sheetName val="Справочник-new_2"/>
      <sheetName val="CAMPAIGN AVERAGE F"/>
      <sheetName val="справочник магазинов"/>
      <sheetName val="шаблон"/>
      <sheetName val="Share"/>
      <sheetName val="статьи БДР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 + ОСВ 43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справочник мвз"/>
      <sheetName val="List of CH"/>
      <sheetName val="ИНДЕКСЫ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Таксономия"/>
      <sheetName val="Revenue_comp"/>
      <sheetName val="Стать БУ"/>
      <sheetName val="счета  БУ"/>
      <sheetName val="Справочник статей БУ "/>
      <sheetName val="MPP"/>
      <sheetName val="ГК Элемент (ВГО)"/>
      <sheetName val="Курс валют на___"/>
      <sheetName val="ТехДанные"/>
      <sheetName val="ppt"/>
      <sheetName val="BS PR"/>
      <sheetName val="Лимиты"/>
      <sheetName val="Библиотека"/>
      <sheetName val="Питер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Рук-ство по зап-ю"/>
      <sheetName val="KEY"/>
      <sheetName val="МСФО_счета"/>
      <sheetName val="1999"/>
      <sheetName val="sample"/>
      <sheetName val="CAPEX new"/>
      <sheetName val="Library"/>
      <sheetName val="Accounts DATA"/>
      <sheetName val="5.Справочники"/>
      <sheetName val="Список_действ_клиент_договор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Sheet3"/>
      <sheetName val="DB"/>
      <sheetName val="TDSheet"/>
      <sheetName val="НС_3"/>
      <sheetName val="Товарооборот 2021"/>
      <sheetName val="Справочник люди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3P_FA"/>
      <sheetName val="5. СПРАВОЧНИКИ"/>
      <sheetName val="Const"/>
      <sheetName val="КА"/>
      <sheetName val="справ"/>
      <sheetName val="Лист5"/>
      <sheetName val="Degiskenler"/>
      <sheetName val="Finansal tamamlanma Eğrisi"/>
      <sheetName val="Список CapEx"/>
      <sheetName val="Список лотов"/>
      <sheetName val="Списки (доходы)"/>
      <sheetName val="Список (CapEx)"/>
      <sheetName val="Список для СapEx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Существенность"/>
      <sheetName val="Products annual"/>
      <sheetName val="Статьи_МКМ"/>
      <sheetName val="КСВ_График слайд 11"/>
      <sheetName val="ФОТ штат_22"/>
      <sheetName val="Численность_по активам"/>
      <sheetName val="ФЛ_2019"/>
      <sheetName val="мсфо"/>
      <sheetName val="Статьи ПК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support"/>
      <sheetName val="LOADDAT"/>
      <sheetName val="ESCON"/>
      <sheetName val="контроль аналитик"/>
      <sheetName val="RFElecMod"/>
      <sheetName val="tech. list"/>
      <sheetName val="Прил. 3"/>
      <sheetName val="парам"/>
      <sheetName val="контрагент новый"/>
      <sheetName val="Debt"/>
      <sheetName val="Магазины"/>
      <sheetName val="Справочник клиентов"/>
      <sheetName val="Справочник видов ГП"/>
      <sheetName val="Техн лист"/>
      <sheetName val="Справочник марок ППУ"/>
      <sheetName val="B03"/>
      <sheetName val="FitOutConfCentre"/>
      <sheetName val=" N Finansal Eğri"/>
      <sheetName val="Доходы"/>
      <sheetName val="проверка данных"/>
      <sheetName val="Справочик техника"/>
      <sheetName val=""/>
      <sheetName val="Покупатели"/>
      <sheetName val="Conf"/>
      <sheetName val="вспомогательные таблицы"/>
      <sheetName val="спр_типы данных"/>
      <sheetName val="спр_валюты"/>
      <sheetName val="Круг 6 листов "/>
      <sheetName val="Массив_РА"/>
      <sheetName val="Сводный лист (LS) "/>
      <sheetName val="Выпадающий список "/>
      <sheetName val="Données LMU"/>
      <sheetName val="MPV"/>
      <sheetName val="3-Company list"/>
      <sheetName val="Switch"/>
      <sheetName val="Liste agrégats Cash Flow"/>
      <sheetName val="5. Management"/>
      <sheetName val="Annexe"/>
      <sheetName val="Trend mensili IB 2004"/>
      <sheetName val="B"/>
      <sheetName val="Waterfall charts"/>
      <sheetName val="0.4 Liste des entités"/>
      <sheetName val="Data_pour_menu_déroulant"/>
      <sheetName val="Données_LMU"/>
      <sheetName val="DTF_drop_down_list"/>
      <sheetName val="PARAM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Source onglet input"/>
      <sheetName val="Liste agrégats Bilan"/>
      <sheetName val="BCP X - Positions"/>
      <sheetName val="MICAP"/>
      <sheetName val="Data Validation"/>
      <sheetName val="DATOS GRLES."/>
      <sheetName val="MES"/>
      <sheetName val="DATOS_GRLES_"/>
      <sheetName val="DATOS_GRLES_1"/>
      <sheetName val="DATOS_GRLES_2"/>
      <sheetName val="Drop-downs"/>
      <sheetName val="BCP_X_-_Positions"/>
      <sheetName val="Countries_macro_data"/>
      <sheetName val="BCP_X_-_Positions1"/>
      <sheetName val="Countries_macro_data1"/>
      <sheetName val="Data_Validation"/>
      <sheetName val="DATOS_GRLES_3"/>
      <sheetName val="FY12 Customer UK &amp; Int"/>
      <sheetName val="C. Brands and Products"/>
      <sheetName val="3-Company_list"/>
      <sheetName val="Liste_agrégats_Cash_Flow"/>
      <sheetName val="FY12_Customer_UK_&amp;_Int"/>
      <sheetName val="C__Brands_and_Products"/>
      <sheetName val="BCP Asia II"/>
      <sheetName val="Months"/>
      <sheetName val="RubIG"/>
      <sheetName val="Hide"/>
      <sheetName val="HYPOTHESES"/>
      <sheetName val="Mapping2"/>
      <sheetName val="Infos"/>
      <sheetName val="Parameter"/>
      <sheetName val="Tabelle3"/>
      <sheetName val="Tradesum"/>
      <sheetName val="Model"/>
      <sheetName val="DATOS_GRLES_4"/>
      <sheetName val="PilotFP"/>
      <sheetName val="PILOT"/>
      <sheetName val="formattazione"/>
      <sheetName val="Comps"/>
      <sheetName val="TABLES"/>
      <sheetName val="MWC"/>
      <sheetName val="VAR"/>
      <sheetName val="Parameters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Периоды"/>
      <sheetName val="ЭкоУ-статьи бюджета"/>
      <sheetName val="Справочник (2)"/>
      <sheetName val="Статьи бюджета 2021"/>
      <sheetName val="Веса показателей"/>
      <sheetName val="К 005"/>
      <sheetName val="РБП"/>
      <sheetName val="PL_Total"/>
      <sheetName val="классификатор"/>
      <sheetName val="Выпадающий список"/>
      <sheetName val="6.1_хЦТЭТ"/>
      <sheetName val="тех данные"/>
      <sheetName val="SOV tot"/>
      <sheetName val="Finansal_tamamlanma_Eğrisi"/>
      <sheetName val="Список_спец__критериев"/>
      <sheetName val="PROCURE"/>
      <sheetName val="Техлист"/>
      <sheetName val="р_список"/>
      <sheetName val="технич"/>
      <sheetName val="Приложение 1"/>
      <sheetName val="갑지"/>
      <sheetName val="Brent"/>
      <sheetName val="rate of exchange"/>
      <sheetName val="STLInput"/>
      <sheetName val="Подстава"/>
      <sheetName val="Финплан"/>
      <sheetName val="Brent(dtd)_Rate"/>
      <sheetName val="Налоги 2011-2013 23.12.2010"/>
      <sheetName val="короткая руб"/>
      <sheetName val="Отчет о прб и убыт"/>
      <sheetName val="Расчет займов"/>
      <sheetName val="32 Амортизация_СНПЗ"/>
      <sheetName val="Ryazan"/>
      <sheetName val="NPZ"/>
      <sheetName val="СырьеПродуктыПрибыль"/>
      <sheetName val="Справочник студента"/>
      <sheetName val="sapactivexlhiddensheet"/>
      <sheetName val="Меню_ФА"/>
      <sheetName val="База сарех"/>
      <sheetName val="EQUIPMENT -2"/>
      <sheetName val="#BAŞV"/>
      <sheetName val="系数516"/>
      <sheetName val="на 1 тут"/>
      <sheetName val="C,I,O"/>
      <sheetName val="#¡REF"/>
      <sheetName val="ДБ статуса подготовки к ОР"/>
      <sheetName val="Авансы по СНГ"/>
      <sheetName val="산근"/>
      <sheetName val="СГ-транс_КР"/>
      <sheetName val="Роли"/>
      <sheetName val="EKDEB90"/>
      <sheetName val="Sys"/>
      <sheetName val="каталог услуг и проектов"/>
      <sheetName val="Rate Analysis"/>
      <sheetName val="Process Piping"/>
      <sheetName val="ANALISIS ALQUILER FERREYROS"/>
      <sheetName val="HX"/>
      <sheetName val="2008-10"/>
      <sheetName val="Слайд_21_ФА_ССДП Ф-Ф"/>
      <sheetName val="Статьи затрат"/>
      <sheetName val="Списки для драйверов"/>
      <sheetName val="Справочник 3"/>
      <sheetName val="ФакторыШК"/>
      <sheetName val="ФакторыБУИ"/>
      <sheetName val="валюта"/>
      <sheetName val="НДС"/>
      <sheetName val="Статус"/>
      <sheetName val="Вид деятельности"/>
      <sheetName val="Списки (Не удалять!)"/>
      <sheetName val="справочник (ЗВ)"/>
      <sheetName val="продукты и факторы"/>
      <sheetName val="Оплата"/>
      <sheetName val="контуры ТК, ГК"/>
      <sheetName val="1"/>
      <sheetName val="Списки (Не удалять!) (2)"/>
      <sheetName val="вспомогательные производства"/>
      <sheetName val="текущие"/>
      <sheetName val="перспективные"/>
      <sheetName val="1.6 TRS Data"/>
      <sheetName val="БП 2021-2025"/>
      <sheetName val="Варианты"/>
      <sheetName val="Справочник продукции"/>
      <sheetName val="БП 2022-2026"/>
      <sheetName val="Forecast"/>
      <sheetName val="P&amp;L Summary Page"/>
      <sheetName val="Оборудование"/>
      <sheetName val="Dep_other_list"/>
      <sheetName val="Справочник видов активности"/>
      <sheetName val="Справочник подрядчиков"/>
      <sheetName val="Справочник_статей1"/>
      <sheetName val="Dropdown_list1"/>
      <sheetName val="17_Налог1"/>
      <sheetName val="данные_для_графика3"/>
      <sheetName val="Ф-2_ЮССС1"/>
      <sheetName val="Ф-1_ЮССС1"/>
      <sheetName val="Ф_23"/>
      <sheetName val="Структура_расходов3"/>
      <sheetName val="ф_29мес_3"/>
      <sheetName val="CREDIT_STATS3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Расчет_VAS_(руб_)1"/>
      <sheetName val="Статьи_затрат_и_ЦФО1"/>
      <sheetName val="INPUT_EXPENSES1"/>
      <sheetName val="Статьи_БДДС1"/>
      <sheetName val="Доходы_revenue_+_затраты1"/>
      <sheetName val="Статьи_ДДС_20171"/>
      <sheetName val="Qtrly_CF1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Прайс_Лист1"/>
      <sheetName val="перечень_статей_затрат_PNL1"/>
      <sheetName val="Справочник_БКВ1"/>
      <sheetName val="проект_-_отдел1"/>
      <sheetName val="Справочник_ЦФО1"/>
      <sheetName val="FIXED_ASSETS1"/>
      <sheetName val="SETTL_-_RBL1"/>
      <sheetName val="SETTL_-_USD1"/>
      <sheetName val="SPARES_-_BOOTHS1"/>
      <sheetName val="SPARES_-_PAYPHONES1"/>
      <sheetName val="Список_спец__критерие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Справочник_ДДС"/>
      <sheetName val="Справочник_код_ИП"/>
      <sheetName val="мэппинг_PL_CF"/>
      <sheetName val="CAMPAIGN_AVERAGE_F1"/>
      <sheetName val="справочник_магазинов1"/>
      <sheetName val="статьи_БДР1"/>
      <sheetName val="_+_ОСВ_43"/>
      <sheetName val="__Список1"/>
      <sheetName val="Список_Должностей1"/>
      <sheetName val="Список_Исполнителей1"/>
      <sheetName val="Производственная_функция"/>
      <sheetName val="справочник_мвз"/>
      <sheetName val="List_of_CH"/>
      <sheetName val="Товарооборот_2021"/>
      <sheetName val="Прочие_ДиР"/>
      <sheetName val="BS_ГК_МТ"/>
      <sheetName val="PL_ГК_МТ"/>
      <sheetName val="IFRS_corr"/>
      <sheetName val="Свод_&quot;К&quot;"/>
      <sheetName val="DTF_drop_down_list5"/>
      <sheetName val="Стать_БУ"/>
      <sheetName val="счета__БУ"/>
      <sheetName val="BS_PR"/>
      <sheetName val="Справочник_статей_БУ_"/>
      <sheetName val="ГК_Элемент_(ВГО)"/>
      <sheetName val="Курс_валют_на___"/>
      <sheetName val="Рук-ство_по_зап-ю"/>
      <sheetName val="Программа_"/>
      <sheetName val="5630_02+"/>
      <sheetName val="Справочник_люди"/>
      <sheetName val="Статьи_ПГСО"/>
      <sheetName val="9_стрим"/>
      <sheetName val="Список_БП"/>
      <sheetName val="орг_структура"/>
      <sheetName val="ГПХ_цфо_999"/>
      <sheetName val="Перечень_ИТ-систем"/>
      <sheetName val="Accounts_DATA"/>
      <sheetName val="5_Справочники"/>
      <sheetName val="5__СПРАВОЧНИКИ"/>
      <sheetName val="Data_pour_menu_déroulant5"/>
      <sheetName val="Тех__лист"/>
      <sheetName val="CAPEX_new"/>
      <sheetName val="заполнение_таблицы"/>
      <sheetName val="Finansal_tamamlanma_Eğrisi1"/>
      <sheetName val="Список_CapEx"/>
      <sheetName val="Список_лотов"/>
      <sheetName val="Списки_(доходы)"/>
      <sheetName val="Список_(CapEx)"/>
      <sheetName val="Список_для_СapEx"/>
      <sheetName val="2_INP-Timeline"/>
      <sheetName val="Products_annual"/>
      <sheetName val="КСВ_График_слайд_11"/>
      <sheetName val="ФОТ_штат_22"/>
      <sheetName val="Численность_по_активам"/>
      <sheetName val="Статьи_ПК"/>
      <sheetName val="контроль_аналитик"/>
      <sheetName val="tech__list"/>
      <sheetName val="Прил__3"/>
      <sheetName val="контрагент_новый"/>
      <sheetName val="Справочник_клиентов"/>
      <sheetName val="Справочник_видов_ГП"/>
      <sheetName val="Техн_лист"/>
      <sheetName val="Справочник_марок_ППУ"/>
      <sheetName val="_N_Finansal_Eğri"/>
      <sheetName val="проверка_данных"/>
      <sheetName val="Справочик_техника"/>
      <sheetName val="вспомогательные_таблицы"/>
      <sheetName val="спр_типы_данных"/>
      <sheetName val="Круг_6_листов_"/>
      <sheetName val="Сводный_лист_(LS)_"/>
      <sheetName val="Выпадающий_список_"/>
      <sheetName val="Données_LMU5"/>
      <sheetName val="3-Company_list1"/>
      <sheetName val="Liste_agrégats_Cash_Flow1"/>
      <sheetName val="5__Management4"/>
      <sheetName val="Trend_mensili_IB_20044"/>
      <sheetName val="Waterfall_charts4"/>
      <sheetName val="0_4_Liste_des_entités4"/>
      <sheetName val="Countries_macro_data2"/>
      <sheetName val="P&amp;L_Long_Period_(Report)4"/>
      <sheetName val="Source_onglet_input"/>
      <sheetName val="Liste_agrégats_Bilan"/>
      <sheetName val="BCP_X_-_Positions2"/>
      <sheetName val="Data_Validation1"/>
      <sheetName val="DATOS_GRLES_5"/>
      <sheetName val="FY12_Customer_UK_&amp;_Int1"/>
      <sheetName val="C__Brands_and_Products1"/>
      <sheetName val="BCP_Asia_II"/>
      <sheetName val="Base_pour_rating_FY19"/>
      <sheetName val="Base_pour_rating_FY19_(2)"/>
      <sheetName val="Menus_déroulants"/>
      <sheetName val="Base_CA_2019"/>
      <sheetName val="ЭкоУ-статьи_бюджета"/>
      <sheetName val="Справочник_(2)"/>
      <sheetName val="Статьи_бюджета_2021"/>
      <sheetName val="Веса_показателей"/>
      <sheetName val="К_005"/>
      <sheetName val="Выпадающий_список"/>
      <sheetName val="6_1_хЦТЭТ"/>
      <sheetName val="тех_данные"/>
      <sheetName val="SOV_tot"/>
      <sheetName val="Приложение_1"/>
      <sheetName val="EQUIPMENT_-2"/>
      <sheetName val="rate_of_exchange"/>
      <sheetName val="Налоги_2011-2013_23_12_2010"/>
      <sheetName val="короткая_руб"/>
      <sheetName val="Отчет_о_прб_и_убыт"/>
      <sheetName val="Расчет_займов"/>
      <sheetName val="32_Амортизация_СНПЗ"/>
      <sheetName val="Справочник_студента"/>
      <sheetName val="База_сарех"/>
      <sheetName val="на_1_тут"/>
      <sheetName val="ДБ_статуса_подготовки_к_ОР"/>
      <sheetName val="справочник_(ЗВ)"/>
      <sheetName val="продукты_и_факторы"/>
      <sheetName val="контуры_ТК,_ГК"/>
      <sheetName val="P&amp;L_Summary_Page"/>
      <sheetName val="БП_2021-2025"/>
      <sheetName val="Статьи_затрат"/>
      <sheetName val="Списки_для_драйверов"/>
      <sheetName val="Справочник_3"/>
      <sheetName val="Вид_деятельности"/>
      <sheetName val="Списки_(Не_удалять!)"/>
      <sheetName val="Справочник_продукции"/>
      <sheetName val="БП_2022-2026"/>
      <sheetName val="Справочник_видов_активности"/>
      <sheetName val="Справочник_подрядчиков"/>
      <sheetName val="Bolt Up"/>
      <sheetName val="Field Handle Fittings"/>
      <sheetName val="Attach Flange"/>
      <sheetName val="Handle &amp; Erect Fab Spools"/>
      <sheetName val="Shop Handle Pipe"/>
      <sheetName val="Olet"/>
      <sheetName val="Shop Handle Fittings"/>
      <sheetName val="Valve Handle"/>
      <sheetName val="W+C+2B"/>
      <sheetName val="Шкала Статус мероприятий"/>
      <sheetName val="BP2003 181210"/>
      <sheetName val="Курс $"/>
      <sheetName val="Параметры_i"/>
      <sheetName val="_ССЫЛКА"/>
      <sheetName val="analysis"/>
      <sheetName val="КПП"/>
      <sheetName val="Баланс нпр"/>
      <sheetName val="Деб и запасы"/>
      <sheetName val="BP2003_181210"/>
      <sheetName val="Курс_$"/>
      <sheetName val="Баланс_нпр"/>
      <sheetName val="Деб_и_запасы"/>
      <sheetName val="lang"/>
      <sheetName val="3_Sum_База"/>
      <sheetName val="Отчет по прибыли"/>
      <sheetName val="по всем МВЗ(вал)"/>
      <sheetName val="Contracts"/>
      <sheetName val="Исходные"/>
      <sheetName val="Баланс нефти"/>
      <sheetName val="Доход УУН"/>
      <sheetName val="Экспорт нефти+таможня"/>
      <sheetName val="Экспорт нпр+таможня"/>
      <sheetName val="Транспорт нефти "/>
      <sheetName val="Опт нпр "/>
      <sheetName val="Трансп нпр+нефть жд"/>
      <sheetName val="Сб цены объемы"/>
      <sheetName val="Сб выручка"/>
      <sheetName val="Сб затраты"/>
      <sheetName val="Сб движ нпр"/>
      <sheetName val="Сб ддс"/>
      <sheetName val="Cб оборот"/>
      <sheetName val="нпз ддс"/>
      <sheetName val="нпз оборот"/>
      <sheetName val="нпз затраты"/>
      <sheetName val="нпз пдр"/>
      <sheetName val="нпз движение"/>
      <sheetName val="Катализаторы"/>
      <sheetName val="Реализация+покупка нефти"/>
      <sheetName val="Капвложения"/>
      <sheetName val="Цены"/>
      <sheetName val="исх"/>
      <sheetName val="Корректировка"/>
      <sheetName val="БП"/>
      <sheetName val="Май до 25"/>
      <sheetName val="Финплан в формате ПБД"/>
      <sheetName val="КВ (фин)"/>
      <sheetName val="Страница ввода"/>
      <sheetName val="Результат Диллера"/>
      <sheetName val="GRAPHS"/>
      <sheetName val="приобретение нпр"/>
      <sheetName val="93"/>
      <sheetName val="исходные данные"/>
      <sheetName val="Линейная чувствительность"/>
      <sheetName val="История"/>
      <sheetName val="Input"/>
      <sheetName val="Calculation"/>
      <sheetName val="Затраты"/>
      <sheetName val="руб 2007 план"/>
      <sheetName val="НЕДЕЛИ"/>
      <sheetName val="ст ГТМ"/>
      <sheetName val="Neste Oy"/>
      <sheetName val="П"/>
      <sheetName val="Resources"/>
      <sheetName val="Cons_Journals"/>
      <sheetName val="БЕ БИ"/>
      <sheetName val="Alliance"/>
      <sheetName val="Sever"/>
      <sheetName val="GFS"/>
      <sheetName val="Integra KRS"/>
      <sheetName val="NNGF"/>
      <sheetName val="PGF"/>
      <sheetName val="SNGF"/>
      <sheetName val="TNGF"/>
      <sheetName val="УР БО"/>
      <sheetName val="Энергия_GJ"/>
      <sheetName val="УП _2004"/>
      <sheetName val="Присадки и компоненты"/>
      <sheetName val="BP2003_1812101"/>
      <sheetName val="Курс_$1"/>
      <sheetName val="Баланс_нпр1"/>
      <sheetName val="Деб_и_запасы1"/>
      <sheetName val="Баланс_нефти"/>
      <sheetName val="Отчет_по_прибыли"/>
      <sheetName val="Доход_УУН"/>
      <sheetName val="Экспорт_нефти+таможня"/>
      <sheetName val="Экспорт_нпр+таможня"/>
      <sheetName val="Транспорт_нефти_"/>
      <sheetName val="Опт_нпр_"/>
      <sheetName val="Трансп_нпр+нефть_жд"/>
      <sheetName val="Сб_цены_объемы"/>
      <sheetName val="Сб_выручка"/>
      <sheetName val="Сб_затраты"/>
      <sheetName val="Сб_движ_нпр"/>
      <sheetName val="Сб_ддс"/>
      <sheetName val="Cб_оборот"/>
      <sheetName val="нпз_ддс"/>
      <sheetName val="нпз_оборот"/>
      <sheetName val="нпз_затраты"/>
      <sheetName val="нпз_пдр"/>
      <sheetName val="нпз_движение"/>
      <sheetName val="Реализация+покупка_нефти"/>
      <sheetName val="Май_до_25"/>
      <sheetName val="Финплан_в_формате_ПБД"/>
      <sheetName val="КВ_(фин)"/>
      <sheetName val="Страница_ввода"/>
      <sheetName val="Результат_Диллера"/>
      <sheetName val="приобретение_нпр"/>
      <sheetName val="исходные_данные"/>
      <sheetName val="Линейная_чувствительность"/>
      <sheetName val="руб_2007_план"/>
      <sheetName val="ст_ГТМ"/>
      <sheetName val="Neste_Oy"/>
      <sheetName val="БЕ_БИ"/>
      <sheetName val="Integra_KRS"/>
      <sheetName val="УР_БО"/>
      <sheetName val="по_всем_МВЗ(вал)"/>
      <sheetName val="УП__2004"/>
      <sheetName val="Присадки_и_компоненты"/>
      <sheetName val="СНГДУ-1"/>
      <sheetName val="Справочная информация"/>
      <sheetName val="справочник "/>
      <sheetName val="1-корр. 2010  НГД"/>
      <sheetName val="2016_тр"/>
      <sheetName val="Факт Dink-Inv 2004"/>
      <sheetName val="Вводные"/>
      <sheetName val="пятилетка"/>
      <sheetName val="мониторинг"/>
      <sheetName val="ПЛАСТ НП"/>
      <sheetName val="БЕ"/>
      <sheetName val="BP2003_1812102"/>
      <sheetName val="Курс_$2"/>
      <sheetName val="Баланс_нпр2"/>
      <sheetName val="Деб_и_запасы2"/>
      <sheetName val="по_всем_МВЗ(вал)1"/>
      <sheetName val="Отчет_по_прибыли1"/>
      <sheetName val="Баланс_нефти1"/>
      <sheetName val="Доход_УУН1"/>
      <sheetName val="Экспорт_нефти+таможня1"/>
      <sheetName val="Экспорт_нпр+таможня1"/>
      <sheetName val="Транспорт_нефти_1"/>
      <sheetName val="Опт_нпр_1"/>
      <sheetName val="Трансп_нпр+нефть_жд1"/>
      <sheetName val="Сб_цены_объемы1"/>
      <sheetName val="Сб_выручка1"/>
      <sheetName val="Сб_затраты1"/>
      <sheetName val="Сб_движ_нпр1"/>
      <sheetName val="Сб_ддс1"/>
      <sheetName val="Cб_оборот1"/>
      <sheetName val="нпз_ддс1"/>
      <sheetName val="нпз_оборот1"/>
      <sheetName val="нпз_затраты1"/>
      <sheetName val="нпз_пдр1"/>
      <sheetName val="нпз_движение1"/>
      <sheetName val="Реализация+покупка_нефти1"/>
      <sheetName val="Май_до_251"/>
      <sheetName val="Финплан_в_формате_ПБД1"/>
      <sheetName val="КВ_(фин)1"/>
      <sheetName val="Страница_ввода1"/>
      <sheetName val="Результат_Диллера1"/>
      <sheetName val="приобретение_нпр1"/>
      <sheetName val="исходные_данные1"/>
      <sheetName val="Линейная_чувствительность1"/>
      <sheetName val="руб_2007_план1"/>
      <sheetName val="ст_ГТМ1"/>
      <sheetName val="Neste_Oy1"/>
      <sheetName val="БЕ_БИ1"/>
      <sheetName val="Integra_KRS1"/>
      <sheetName val="УР_БО1"/>
      <sheetName val="УП__20041"/>
      <sheetName val="Справочник Данные ДО"/>
      <sheetName val="Справочники_2"/>
      <sheetName val="Definitions "/>
      <sheetName val=" Sales by site"/>
      <sheetName val="A.F.A."/>
      <sheetName val="17_MODEL_STRUCTURE"/>
      <sheetName val="Figures data"/>
      <sheetName val="DDM Alt."/>
      <sheetName val="Green VDR Index"/>
      <sheetName val="Red VDR Index"/>
      <sheetName val="Pg 65"/>
      <sheetName val="Foglio1"/>
      <sheetName val="elenchi"/>
      <sheetName val="BCVP 2009 - Positions"/>
      <sheetName val="Dropdown lists"/>
      <sheetName val="Country lists"/>
      <sheetName val="Courbe"/>
      <sheetName val="Bruttobezüge Ausgangstabell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Basic Input"/>
      <sheetName val="Feuil1"/>
      <sheetName val="CPY"/>
      <sheetName val="DATA"/>
      <sheetName val="TABLE"/>
      <sheetName val="0_Inputs"/>
      <sheetName val="Hoja1"/>
      <sheetName val="Desplegables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BQMPALOC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Members"/>
      <sheetName val="Foglio2"/>
      <sheetName val="Income statement"/>
      <sheetName val="кальк"/>
      <sheetName val="БП 2023-2027"/>
      <sheetName val="настройки"/>
      <sheetName val="Список Контрагентов"/>
      <sheetName val="Выпадающие списки"/>
      <sheetName val="Справочник КОД ЕПС"/>
      <sheetName val="DTF_drop_down_list6"/>
      <sheetName val="Data_pour_menu_déroulant6"/>
      <sheetName val="Слайд_21_ФА_ССДП_Ф-Ф"/>
      <sheetName val="Liste_agrégats_Cash_Flow2"/>
      <sheetName val="Données_LMU6"/>
      <sheetName val="Liste_agrégats_Bilan1"/>
      <sheetName val="3-Company_list2"/>
      <sheetName val="5__Management5"/>
      <sheetName val="0_4_Liste_des_entités5"/>
      <sheetName val="Waterfall_charts5"/>
      <sheetName val="Trend_mensili_IB_20045"/>
      <sheetName val="P&amp;L_Long_Period_(Report)5"/>
      <sheetName val="BCP_Asia_II1"/>
      <sheetName val="Source_onglet_input1"/>
      <sheetName val="Definitions_"/>
      <sheetName val="FY12_Customer_UK_&amp;_Int2"/>
      <sheetName val="C__Brands_and_Products2"/>
      <sheetName val="_Sales_by_site"/>
      <sheetName val="A_F_A_"/>
      <sheetName val="Figures_data"/>
      <sheetName val="DDM_Alt_"/>
      <sheetName val="Green_VDR_Index"/>
      <sheetName val="Red_VDR_Index"/>
      <sheetName val="Pg_65"/>
      <sheetName val="BCVP_2009_-_Positions"/>
      <sheetName val="Dropdown_lists"/>
      <sheetName val="Country_lists"/>
      <sheetName val="Bruttobezüge_Ausgangstabelle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Basic_Input"/>
      <sheetName val="开发产品变动表(Compelted_units)"/>
      <sheetName val="2_12_1其它货币"/>
      <sheetName val="5_9_1应交稅费明细"/>
      <sheetName val="Detail_testing_on_tax_paym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БП_2023-2027"/>
      <sheetName val="AOP Summary-2"/>
      <sheetName val="1.1.8_Спр-ник_Статьи цел. ср-в"/>
      <sheetName val="1.1.2_Спр-ник_Подразделение"/>
      <sheetName val="1.1.4_Спр-ник_Статьи сметы"/>
      <sheetName val="1.1.1_Спр-ник_Организация"/>
      <sheetName val="1.1.9_Справочник доверенностей"/>
      <sheetName val="1.1.5_Спр-ник_Вид деятельности"/>
      <sheetName val="1.1.3_Спр-ник_Статьи затрат"/>
      <sheetName val="Список (поступления)"/>
      <sheetName val="Prices"/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Actual payments"/>
      <sheetName val="Сумма"/>
      <sheetName val="Данные"/>
      <sheetName val="TRAFFIC CALC"/>
      <sheetName val="TRAFFIC PARM"/>
      <sheetName val="ECONOMIC DATA"/>
      <sheetName val="осв ОАО (2)"/>
      <sheetName val="Сценарии"/>
      <sheetName val="ФД"/>
      <sheetName val="Прогноз декабрь апрель 2004"/>
      <sheetName val="трансформация1"/>
      <sheetName val="BS"/>
      <sheetName val="XLR_NoRangeSheet"/>
      <sheetName val="Settl.Finanacing"/>
      <sheetName val="P&amp;L"/>
      <sheetName val="Баланс hti"/>
      <sheetName val="кфп-с-м2м "/>
      <sheetName val="MEX95IB"/>
      <sheetName val="Соответствие статей БДР-ДДС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SAS TB 6m2006"/>
      <sheetName val="WIVRA"/>
      <sheetName val="Data_CF"/>
      <sheetName val="оглавление"/>
      <sheetName val="Список регионов"/>
      <sheetName val="Информация"/>
      <sheetName val=" "/>
      <sheetName val="indicative ref margin"/>
      <sheetName val="Гренобль Ту-204"/>
      <sheetName val="Index"/>
      <sheetName val="BS Act_by month"/>
      <sheetName val="CF act"/>
      <sheetName val="CF BB"/>
      <sheetName val="HC"/>
      <sheetName val="P&amp;L Act_month"/>
      <sheetName val="P&amp;L BB_month"/>
      <sheetName val="EBITDA Bridges v Budget"/>
      <sheetName val="Input_Assumptions"/>
      <sheetName val="Bendra"/>
      <sheetName val="SAD"/>
      <sheetName val="S 60"/>
      <sheetName val="Заказы"/>
      <sheetName val="Sheet108"/>
      <sheetName val="Прогноз%20декабрь%20апрель%2020"/>
      <sheetName val="Total Revenue"/>
      <sheetName val="Segmental Analysis"/>
      <sheetName val="CPS &amp; CbC"/>
      <sheetName val="Sub group code &amp; Name"/>
      <sheetName val="Adjustment schedule"/>
      <sheetName val="Date 2"/>
      <sheetName val="Ставка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осв_ОАО_(2)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_"/>
      <sheetName val="Гренобль_Ту-204"/>
      <sheetName val="Список_регионов"/>
      <sheetName val="Выпадающие_списки"/>
      <sheetName val="Направления деятельности"/>
      <sheetName val="тех.лист"/>
      <sheetName val="РИСКИ 2010"/>
      <sheetName val="РИСКИ2011"/>
      <sheetName val="schsts"/>
      <sheetName val="Year 3"/>
      <sheetName val="ITALIANS"/>
      <sheetName val="СВОДНАЯ "/>
      <sheetName val="i-network capex costs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natl consult reg."/>
      <sheetName val="cus_HK1033"/>
      <sheetName val="Тех. реализация"/>
      <sheetName val="Macro&amp;general assump"/>
      <sheetName val="Damodaran Industry Beta 2015"/>
      <sheetName val="3. 2013 - перенос на ПМТВ"/>
      <sheetName val="Imputed %"/>
      <sheetName val="Lib BS"/>
      <sheetName val="Список компаний группы"/>
      <sheetName val="ЧМЗ Budget"/>
      <sheetName val="3.INP-GEN"/>
      <sheetName val="1.INP-Scenario"/>
      <sheetName val="Чернигов"/>
      <sheetName val="Reconciliation"/>
      <sheetName val="usage_assumption"/>
      <sheetName val="macro"/>
      <sheetName val="$Out_For_Database"/>
      <sheetName val="Rates"/>
      <sheetName val="фасады общий"/>
      <sheetName val="саратов (2)"/>
      <sheetName val="Global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Analysis_Graph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LSE_Trading Data"/>
      <sheetName val="Счетчик вопросов"/>
      <sheetName val="Client Information"/>
      <sheetName val="Segment_OIBDA"/>
      <sheetName val="с.660"/>
      <sheetName val="ДФВ"/>
      <sheetName val="устр-во опорное"/>
      <sheetName val="CurRates"/>
      <sheetName val="СТ ОЭ"/>
      <sheetName val="Lots1127"/>
      <sheetName val="Adjustment_schedule"/>
      <sheetName val="Total_Revenue"/>
      <sheetName val="Sub_group_code_&amp;_Name"/>
      <sheetName val="тех_лист"/>
      <sheetName val="COST-TZ"/>
      <sheetName val="XREF"/>
      <sheetName val="INP"/>
      <sheetName val="PL.2013.01"/>
      <sheetName val="Validation Tables"/>
      <sheetName val="1997 fin. res."/>
      <sheetName val="exch. rates"/>
      <sheetName val="IVA Estimado"/>
      <sheetName val="Доп инфо"/>
      <sheetName val="ОСВ"/>
      <sheetName val="EBITDA Bridge"/>
      <sheetName val="VKPM"/>
      <sheetName val="FA rollforward Bank"/>
      <sheetName val="dic"/>
      <sheetName val="СтрЗапасов (2)"/>
      <sheetName val="Все статьи"/>
      <sheetName val="Q 2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Список_регионов1"/>
      <sheetName val="_1"/>
      <sheetName val="Выпадающие_списки1"/>
      <sheetName val="indicative_ref_margin5"/>
      <sheetName val="Гренобль_Ту-204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Тех__реализация"/>
      <sheetName val="natl_consult_reg_"/>
      <sheetName val="Macro&amp;general_assump"/>
      <sheetName val="Damodaran_Industry_Beta_2015"/>
      <sheetName val="Факт_Dink-Inv_2004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Счетчик_вопросов"/>
      <sheetName val="Client_Information"/>
      <sheetName val="с_660"/>
      <sheetName val="устр-во_опорное"/>
      <sheetName val="СТ_ОЭ"/>
      <sheetName val="PL_2013_01"/>
      <sheetName val="Validation_Tables"/>
      <sheetName val="1997_fin__res_"/>
      <sheetName val="exch__rates"/>
      <sheetName val="Общ"/>
      <sheetName val="Katsayılar"/>
      <sheetName val="a) Core Financials"/>
      <sheetName val="ADJUST"/>
      <sheetName val="울산시산표"/>
      <sheetName val="info"/>
      <sheetName val="ExchRate"/>
      <sheetName val="Controls"/>
      <sheetName val="IncStat 03-04"/>
      <sheetName val="IncStat 03  "/>
      <sheetName val="11"/>
      <sheetName val="regs"/>
      <sheetName val="Menu"/>
      <sheetName val="Income"/>
      <sheetName val="CA1"/>
      <sheetName val="Ind. Budget"/>
      <sheetName val="fired heaters"/>
      <sheetName val="#REF"/>
      <sheetName val="MD"/>
      <sheetName val="ГК лохл"/>
      <sheetName val="FS Consol"/>
      <sheetName val="Division - Dairy"/>
      <sheetName val="Division - Juice"/>
      <sheetName val="D"/>
      <sheetName val="merger"/>
      <sheetName val="Продажа. Рынок РФ"/>
      <sheetName val="key drivers"/>
      <sheetName val="Неттинг B22_24  ЦТВ_0618 (стор)"/>
      <sheetName val="Неттинг B22_24  ЦТВ_1218 (стор)"/>
      <sheetName val="ЗШ_311219"/>
      <sheetName val="ЗШ0919"/>
      <sheetName val="ЗШ_1220"/>
      <sheetName val="check проводки"/>
      <sheetName val="ЗШ_ЦТВ_1220"/>
      <sheetName val="ЗШ_0619 "/>
      <sheetName val="ЗШ_ЦТВ_0619"/>
      <sheetName val="Check ШЗ БЕР"/>
      <sheetName val="ЗШ_1218"/>
      <sheetName val="ШЗ БЕР_0918"/>
      <sheetName val="ШЗ(0960114)"/>
      <sheetName val="ШЗ"/>
      <sheetName val="список проводок"/>
      <sheetName val="ЗШ_0319"/>
      <sheetName val="свод1 анализ МБ ФЛ"/>
      <sheetName val="свод2 анализ МБ ЮЛ"/>
      <sheetName val="свод3 анализ ФБ"/>
      <sheetName val="свод (корр)"/>
      <sheetName val="ДЗ 180 дней"/>
      <sheetName val="свод (РСБУ)"/>
      <sheetName val="свод (УКО)"/>
      <sheetName val="МБ"/>
      <sheetName val="ФБ"/>
      <sheetName val="ФБ_МРМ+СПб"/>
      <sheetName val="ТРАК"/>
      <sheetName val="не мигр.дз"/>
      <sheetName val="не мигр.дз (1220)"/>
      <sheetName val="данные ЦТВ"/>
      <sheetName val="Данные РИКТ"/>
      <sheetName val="Неттинг по фин бл ЦТВ"/>
      <sheetName val="изменен куб МБ"/>
      <sheetName val="Неттинг B22_24  ЦТВ_0318"/>
      <sheetName val="SV3"/>
      <sheetName val="SV2"/>
      <sheetName val="SV1"/>
      <sheetName val="ОСВ ГК_62_63сч"/>
      <sheetName val="меппинг БЕ, срока ДЗ"/>
      <sheetName val="соотв-е счетов"/>
      <sheetName val="Data new"/>
      <sheetName val="спр-к ДУД"/>
      <sheetName val="БМ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6">
          <cell r="C26" t="str">
            <v>Налог на прибыль</v>
          </cell>
        </row>
      </sheetData>
      <sheetData sheetId="237">
        <row r="26">
          <cell r="C26" t="str">
            <v>Налог на прибыль</v>
          </cell>
        </row>
      </sheetData>
      <sheetData sheetId="238">
        <row r="26">
          <cell r="C26" t="str">
            <v>Налог на прибыль</v>
          </cell>
        </row>
      </sheetData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6">
          <cell r="C26" t="str">
            <v>Налог на прибыль</v>
          </cell>
        </row>
      </sheetData>
      <sheetData sheetId="257">
        <row r="26">
          <cell r="C26" t="str">
            <v>Налог на прибыль</v>
          </cell>
        </row>
      </sheetData>
      <sheetData sheetId="258">
        <row r="26">
          <cell r="C26" t="str">
            <v>Налог на прибыль</v>
          </cell>
        </row>
      </sheetData>
      <sheetData sheetId="259">
        <row r="26">
          <cell r="C26" t="str">
            <v>Налог на прибыль</v>
          </cell>
        </row>
      </sheetData>
      <sheetData sheetId="260">
        <row r="26">
          <cell r="C26" t="str">
            <v>Налог на прибыль</v>
          </cell>
        </row>
      </sheetData>
      <sheetData sheetId="261">
        <row r="26">
          <cell r="C26" t="str">
            <v>Налог на прибыль</v>
          </cell>
        </row>
      </sheetData>
      <sheetData sheetId="262">
        <row r="26">
          <cell r="C26" t="str">
            <v>Налог на прибыль</v>
          </cell>
        </row>
      </sheetData>
      <sheetData sheetId="263">
        <row r="26">
          <cell r="C26" t="str">
            <v>Налог на прибыль</v>
          </cell>
        </row>
      </sheetData>
      <sheetData sheetId="264">
        <row r="26">
          <cell r="C26" t="str">
            <v>Налог на прибыль</v>
          </cell>
        </row>
      </sheetData>
      <sheetData sheetId="265">
        <row r="26">
          <cell r="C26" t="str">
            <v>Налог на прибыль</v>
          </cell>
        </row>
      </sheetData>
      <sheetData sheetId="266">
        <row r="26">
          <cell r="C26" t="str">
            <v>Налог на прибыль</v>
          </cell>
        </row>
      </sheetData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>
        <row r="26">
          <cell r="C26" t="str">
            <v>Налог на прибыль</v>
          </cell>
        </row>
      </sheetData>
      <sheetData sheetId="683">
        <row r="26">
          <cell r="C26" t="str">
            <v>Налог на прибыль</v>
          </cell>
        </row>
      </sheetData>
      <sheetData sheetId="684">
        <row r="26">
          <cell r="C26" t="str">
            <v>Налог на прибыль</v>
          </cell>
        </row>
      </sheetData>
      <sheetData sheetId="685">
        <row r="26">
          <cell r="C26" t="str">
            <v>Налог на прибыль</v>
          </cell>
        </row>
      </sheetData>
      <sheetData sheetId="686">
        <row r="26">
          <cell r="C26" t="str">
            <v>Налог на прибыль</v>
          </cell>
        </row>
      </sheetData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>
        <row r="26">
          <cell r="C26" t="str">
            <v>Налог на прибыль</v>
          </cell>
        </row>
      </sheetData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 refreshError="1"/>
      <sheetData sheetId="1029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>
        <row r="26">
          <cell r="C26" t="str">
            <v>Налог на прибыль</v>
          </cell>
        </row>
      </sheetData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>
        <row r="26">
          <cell r="C26" t="str">
            <v>Налог на прибыль</v>
          </cell>
        </row>
      </sheetData>
      <sheetData sheetId="1228">
        <row r="26">
          <cell r="C26" t="str">
            <v>Налог на прибыль</v>
          </cell>
        </row>
      </sheetData>
      <sheetData sheetId="1229">
        <row r="26">
          <cell r="C26" t="str">
            <v>Налог на прибыль</v>
          </cell>
        </row>
      </sheetData>
      <sheetData sheetId="1230">
        <row r="26">
          <cell r="C26" t="str">
            <v>Налог на прибыль</v>
          </cell>
        </row>
      </sheetData>
      <sheetData sheetId="1231">
        <row r="26">
          <cell r="C26" t="str">
            <v>Налог на прибыль</v>
          </cell>
        </row>
      </sheetData>
      <sheetData sheetId="1232">
        <row r="26">
          <cell r="C26" t="str">
            <v>Налог на прибыль</v>
          </cell>
        </row>
      </sheetData>
      <sheetData sheetId="1233">
        <row r="26">
          <cell r="C26" t="str">
            <v>Налог на прибыль</v>
          </cell>
        </row>
      </sheetData>
      <sheetData sheetId="1234">
        <row r="26">
          <cell r="C26" t="str">
            <v>Налог на прибыль</v>
          </cell>
        </row>
      </sheetData>
      <sheetData sheetId="1235">
        <row r="26">
          <cell r="C26" t="str">
            <v>Налог на прибыль</v>
          </cell>
        </row>
      </sheetData>
      <sheetData sheetId="1236"/>
      <sheetData sheetId="1237">
        <row r="26">
          <cell r="C26" t="str">
            <v>Налог на прибыль</v>
          </cell>
        </row>
      </sheetData>
      <sheetData sheetId="1238"/>
      <sheetData sheetId="1239">
        <row r="26">
          <cell r="C26" t="str">
            <v>Налог на прибыль</v>
          </cell>
        </row>
      </sheetData>
      <sheetData sheetId="1240">
        <row r="26">
          <cell r="C26" t="str">
            <v>Налог на прибыль</v>
          </cell>
        </row>
      </sheetData>
      <sheetData sheetId="1241">
        <row r="26">
          <cell r="C26" t="str">
            <v>Налог на прибыль</v>
          </cell>
        </row>
      </sheetData>
      <sheetData sheetId="1242">
        <row r="26">
          <cell r="C26" t="str">
            <v>Налог на прибыль</v>
          </cell>
        </row>
      </sheetData>
      <sheetData sheetId="1243">
        <row r="26">
          <cell r="C26" t="str">
            <v>Налог на прибыль</v>
          </cell>
        </row>
      </sheetData>
      <sheetData sheetId="1244">
        <row r="26">
          <cell r="C26" t="str">
            <v>Налог на прибыль</v>
          </cell>
        </row>
      </sheetData>
      <sheetData sheetId="1245">
        <row r="26">
          <cell r="C26" t="str">
            <v>Налог на прибыль</v>
          </cell>
        </row>
      </sheetData>
      <sheetData sheetId="1246">
        <row r="26">
          <cell r="C26" t="str">
            <v>Налог на прибыль</v>
          </cell>
        </row>
      </sheetData>
      <sheetData sheetId="1247">
        <row r="26">
          <cell r="C26" t="str">
            <v>Налог на прибыль</v>
          </cell>
        </row>
      </sheetData>
      <sheetData sheetId="1248">
        <row r="26">
          <cell r="C26" t="str">
            <v>Налог на прибыль</v>
          </cell>
        </row>
      </sheetData>
      <sheetData sheetId="1249">
        <row r="26">
          <cell r="C26" t="str">
            <v>Налог на прибыль</v>
          </cell>
        </row>
      </sheetData>
      <sheetData sheetId="1250">
        <row r="26">
          <cell r="C26" t="str">
            <v>Налог на прибыль</v>
          </cell>
        </row>
      </sheetData>
      <sheetData sheetId="1251">
        <row r="26">
          <cell r="C26" t="str">
            <v>Налог на прибыль</v>
          </cell>
        </row>
      </sheetData>
      <sheetData sheetId="1252"/>
      <sheetData sheetId="1253">
        <row r="26">
          <cell r="C26" t="str">
            <v>Налог на прибыль</v>
          </cell>
        </row>
      </sheetData>
      <sheetData sheetId="1254">
        <row r="26">
          <cell r="C26" t="str">
            <v>Налог на прибыль</v>
          </cell>
        </row>
      </sheetData>
      <sheetData sheetId="1255">
        <row r="26">
          <cell r="C26" t="str">
            <v>Налог на прибыль</v>
          </cell>
        </row>
      </sheetData>
      <sheetData sheetId="1256">
        <row r="26">
          <cell r="C26" t="str">
            <v>Налог на прибыль</v>
          </cell>
        </row>
      </sheetData>
      <sheetData sheetId="1257">
        <row r="26">
          <cell r="C26" t="str">
            <v>Налог на прибыль</v>
          </cell>
        </row>
      </sheetData>
      <sheetData sheetId="1258"/>
      <sheetData sheetId="1259">
        <row r="26">
          <cell r="C26" t="str">
            <v>Налог на прибыль</v>
          </cell>
        </row>
      </sheetData>
      <sheetData sheetId="1260">
        <row r="26">
          <cell r="C26" t="str">
            <v>Налог на прибыль</v>
          </cell>
        </row>
      </sheetData>
      <sheetData sheetId="1261">
        <row r="26">
          <cell r="C26" t="str">
            <v>Налог на прибыль</v>
          </cell>
        </row>
      </sheetData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>
        <row r="26">
          <cell r="C26" t="str">
            <v>Налог на прибыль</v>
          </cell>
        </row>
      </sheetData>
      <sheetData sheetId="1272">
        <row r="26">
          <cell r="C26" t="str">
            <v>Налог на прибыль</v>
          </cell>
        </row>
      </sheetData>
      <sheetData sheetId="1273">
        <row r="26">
          <cell r="C26" t="str">
            <v>Налог на прибыль</v>
          </cell>
        </row>
      </sheetData>
      <sheetData sheetId="1274">
        <row r="26">
          <cell r="C26" t="str">
            <v>Налог на прибыль</v>
          </cell>
        </row>
      </sheetData>
      <sheetData sheetId="1275">
        <row r="26">
          <cell r="C26" t="str">
            <v>Налог на прибыль</v>
          </cell>
        </row>
      </sheetData>
      <sheetData sheetId="1276">
        <row r="26">
          <cell r="C26" t="str">
            <v>Налог на прибыль</v>
          </cell>
        </row>
      </sheetData>
      <sheetData sheetId="1277">
        <row r="26">
          <cell r="C26" t="str">
            <v>Налог на прибыль</v>
          </cell>
        </row>
      </sheetData>
      <sheetData sheetId="1278">
        <row r="26">
          <cell r="C26" t="str">
            <v>Налог на прибыль</v>
          </cell>
        </row>
      </sheetData>
      <sheetData sheetId="1279">
        <row r="26">
          <cell r="C26" t="str">
            <v>Налог на прибыль</v>
          </cell>
        </row>
      </sheetData>
      <sheetData sheetId="1280">
        <row r="26">
          <cell r="C26" t="str">
            <v>Налог на прибыль</v>
          </cell>
        </row>
      </sheetData>
      <sheetData sheetId="1281">
        <row r="26">
          <cell r="C26" t="str">
            <v>Налог на прибыль</v>
          </cell>
        </row>
      </sheetData>
      <sheetData sheetId="1282">
        <row r="26">
          <cell r="C26" t="str">
            <v>Налог на прибыль</v>
          </cell>
        </row>
      </sheetData>
      <sheetData sheetId="1283">
        <row r="26">
          <cell r="C26" t="str">
            <v>Налог на прибыль</v>
          </cell>
        </row>
      </sheetData>
      <sheetData sheetId="1284">
        <row r="26">
          <cell r="C26" t="str">
            <v>Налог на прибыль</v>
          </cell>
        </row>
      </sheetData>
      <sheetData sheetId="1285">
        <row r="26">
          <cell r="C26" t="str">
            <v>Налог на прибыль</v>
          </cell>
        </row>
      </sheetData>
      <sheetData sheetId="1286">
        <row r="26">
          <cell r="C26" t="str">
            <v>Налог на прибыль</v>
          </cell>
        </row>
      </sheetData>
      <sheetData sheetId="1287">
        <row r="26">
          <cell r="C26" t="str">
            <v>Налог на прибыль</v>
          </cell>
        </row>
      </sheetData>
      <sheetData sheetId="1288">
        <row r="26">
          <cell r="C26" t="str">
            <v>Налог на прибыль</v>
          </cell>
        </row>
      </sheetData>
      <sheetData sheetId="1289">
        <row r="26">
          <cell r="C26" t="str">
            <v>Налог на прибыль</v>
          </cell>
        </row>
      </sheetData>
      <sheetData sheetId="1290">
        <row r="26">
          <cell r="C26" t="str">
            <v>Налог на прибыль</v>
          </cell>
        </row>
      </sheetData>
      <sheetData sheetId="1291">
        <row r="26">
          <cell r="C26" t="str">
            <v>Налог на прибыль</v>
          </cell>
        </row>
      </sheetData>
      <sheetData sheetId="1292">
        <row r="26">
          <cell r="C26" t="str">
            <v>Налог на прибыль</v>
          </cell>
        </row>
      </sheetData>
      <sheetData sheetId="1293">
        <row r="26">
          <cell r="C26" t="str">
            <v>Налог на прибыль</v>
          </cell>
        </row>
      </sheetData>
      <sheetData sheetId="1294">
        <row r="26">
          <cell r="C26" t="str">
            <v>Налог на прибыль</v>
          </cell>
        </row>
      </sheetData>
      <sheetData sheetId="1295">
        <row r="26">
          <cell r="C26" t="str">
            <v>Налог на прибыль</v>
          </cell>
        </row>
      </sheetData>
      <sheetData sheetId="1296">
        <row r="26">
          <cell r="C26" t="str">
            <v>Налог на прибыль</v>
          </cell>
        </row>
      </sheetData>
      <sheetData sheetId="1297">
        <row r="26">
          <cell r="C26" t="str">
            <v>Налог на прибыль</v>
          </cell>
        </row>
      </sheetData>
      <sheetData sheetId="1298">
        <row r="26">
          <cell r="C26" t="str">
            <v>Налог на прибыль</v>
          </cell>
        </row>
      </sheetData>
      <sheetData sheetId="1299">
        <row r="26">
          <cell r="C26" t="str">
            <v>Налог на прибыль</v>
          </cell>
        </row>
      </sheetData>
      <sheetData sheetId="1300">
        <row r="26">
          <cell r="C26" t="str">
            <v>Налог на прибыль</v>
          </cell>
        </row>
      </sheetData>
      <sheetData sheetId="1301">
        <row r="26">
          <cell r="C26" t="str">
            <v>Налог на прибыль</v>
          </cell>
        </row>
      </sheetData>
      <sheetData sheetId="1302">
        <row r="26">
          <cell r="C26" t="str">
            <v>Налог на прибыль</v>
          </cell>
        </row>
      </sheetData>
      <sheetData sheetId="1303">
        <row r="26">
          <cell r="C26" t="str">
            <v>Налог на прибыль</v>
          </cell>
        </row>
      </sheetData>
      <sheetData sheetId="1304">
        <row r="26">
          <cell r="C26" t="str">
            <v>Налог на прибыль</v>
          </cell>
        </row>
      </sheetData>
      <sheetData sheetId="1305">
        <row r="26">
          <cell r="C26" t="str">
            <v>Налог на прибыль</v>
          </cell>
        </row>
      </sheetData>
      <sheetData sheetId="1306">
        <row r="26">
          <cell r="C26" t="str">
            <v>Налог на прибыль</v>
          </cell>
        </row>
      </sheetData>
      <sheetData sheetId="1307">
        <row r="26">
          <cell r="C26" t="str">
            <v>Налог на прибыль</v>
          </cell>
        </row>
      </sheetData>
      <sheetData sheetId="1308">
        <row r="26">
          <cell r="C26" t="str">
            <v>Налог на прибыль</v>
          </cell>
        </row>
      </sheetData>
      <sheetData sheetId="1309">
        <row r="26">
          <cell r="C26" t="str">
            <v>Налог на прибыль</v>
          </cell>
        </row>
      </sheetData>
      <sheetData sheetId="1310">
        <row r="26">
          <cell r="C26" t="str">
            <v>Налог на прибыль</v>
          </cell>
        </row>
      </sheetData>
      <sheetData sheetId="1311">
        <row r="26">
          <cell r="C26" t="str">
            <v>Налог на прибыль</v>
          </cell>
        </row>
      </sheetData>
      <sheetData sheetId="1312">
        <row r="26">
          <cell r="C26" t="str">
            <v>Налог на прибыль</v>
          </cell>
        </row>
      </sheetData>
      <sheetData sheetId="1313">
        <row r="26">
          <cell r="C26" t="str">
            <v>Налог на прибыль</v>
          </cell>
        </row>
      </sheetData>
      <sheetData sheetId="1314">
        <row r="26">
          <cell r="C26" t="str">
            <v>Налог на прибыль</v>
          </cell>
        </row>
      </sheetData>
      <sheetData sheetId="1315">
        <row r="26">
          <cell r="C26" t="str">
            <v>Налог на прибыль</v>
          </cell>
        </row>
      </sheetData>
      <sheetData sheetId="1316">
        <row r="26">
          <cell r="C26" t="str">
            <v>Налог на прибыль</v>
          </cell>
        </row>
      </sheetData>
      <sheetData sheetId="1317">
        <row r="26">
          <cell r="C26" t="str">
            <v>Налог на прибыль</v>
          </cell>
        </row>
      </sheetData>
      <sheetData sheetId="1318">
        <row r="26">
          <cell r="C26" t="str">
            <v>Налог на прибыль</v>
          </cell>
        </row>
      </sheetData>
      <sheetData sheetId="1319">
        <row r="26">
          <cell r="C26" t="str">
            <v>Налог на прибыль</v>
          </cell>
        </row>
      </sheetData>
      <sheetData sheetId="1320">
        <row r="26">
          <cell r="C26" t="str">
            <v>Налог на прибыль</v>
          </cell>
        </row>
      </sheetData>
      <sheetData sheetId="1321">
        <row r="26">
          <cell r="C26" t="str">
            <v>Налог на прибыль</v>
          </cell>
        </row>
      </sheetData>
      <sheetData sheetId="1322">
        <row r="26">
          <cell r="C26" t="str">
            <v>Налог на прибыль</v>
          </cell>
        </row>
      </sheetData>
      <sheetData sheetId="1323">
        <row r="26">
          <cell r="C26" t="str">
            <v>Налог на прибыль</v>
          </cell>
        </row>
      </sheetData>
      <sheetData sheetId="1324">
        <row r="26">
          <cell r="C26" t="str">
            <v>Налог на прибыль</v>
          </cell>
        </row>
      </sheetData>
      <sheetData sheetId="1325">
        <row r="26">
          <cell r="C26" t="str">
            <v>Налог на прибыль</v>
          </cell>
        </row>
      </sheetData>
      <sheetData sheetId="1326">
        <row r="26">
          <cell r="C26" t="str">
            <v>Налог на прибыль</v>
          </cell>
        </row>
      </sheetData>
      <sheetData sheetId="1327">
        <row r="26">
          <cell r="C26" t="str">
            <v>Налог на прибыль</v>
          </cell>
        </row>
      </sheetData>
      <sheetData sheetId="1328">
        <row r="26">
          <cell r="C26" t="str">
            <v>Налог на прибыль</v>
          </cell>
        </row>
      </sheetData>
      <sheetData sheetId="1329">
        <row r="26">
          <cell r="C26" t="str">
            <v>Налог на прибыль</v>
          </cell>
        </row>
      </sheetData>
      <sheetData sheetId="1330">
        <row r="26">
          <cell r="C26" t="str">
            <v>Налог на прибыль</v>
          </cell>
        </row>
      </sheetData>
      <sheetData sheetId="1331">
        <row r="26">
          <cell r="C26" t="str">
            <v>Налог на прибыль</v>
          </cell>
        </row>
      </sheetData>
      <sheetData sheetId="1332">
        <row r="26">
          <cell r="C26" t="str">
            <v>Налог на прибыль</v>
          </cell>
        </row>
      </sheetData>
      <sheetData sheetId="1333">
        <row r="26">
          <cell r="C26" t="str">
            <v>Налог на прибыль</v>
          </cell>
        </row>
      </sheetData>
      <sheetData sheetId="1334">
        <row r="26">
          <cell r="C26" t="str">
            <v>Налог на прибыль</v>
          </cell>
        </row>
      </sheetData>
      <sheetData sheetId="1335">
        <row r="26">
          <cell r="C26" t="str">
            <v>Налог на прибыль</v>
          </cell>
        </row>
      </sheetData>
      <sheetData sheetId="1336">
        <row r="26">
          <cell r="C26" t="str">
            <v>Налог на прибыль</v>
          </cell>
        </row>
      </sheetData>
      <sheetData sheetId="1337">
        <row r="26">
          <cell r="C26" t="str">
            <v>Налог на прибыль</v>
          </cell>
        </row>
      </sheetData>
      <sheetData sheetId="1338">
        <row r="26">
          <cell r="C26" t="str">
            <v>Налог на прибыль</v>
          </cell>
        </row>
      </sheetData>
      <sheetData sheetId="1339">
        <row r="26">
          <cell r="C26" t="str">
            <v>Налог на прибыль</v>
          </cell>
        </row>
      </sheetData>
      <sheetData sheetId="1340">
        <row r="26">
          <cell r="C26" t="str">
            <v>Налог на прибыль</v>
          </cell>
        </row>
      </sheetData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>
        <row r="26">
          <cell r="C26" t="str">
            <v>Налог на прибыль</v>
          </cell>
        </row>
      </sheetData>
      <sheetData sheetId="1352"/>
      <sheetData sheetId="1353" refreshError="1"/>
      <sheetData sheetId="1354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/>
      <sheetData sheetId="1375"/>
      <sheetData sheetId="1376"/>
      <sheetData sheetId="1377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>
        <row r="26">
          <cell r="C26" t="str">
            <v>Налог на прибыль</v>
          </cell>
        </row>
      </sheetData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/>
      <sheetData sheetId="1504"/>
      <sheetData sheetId="1505"/>
      <sheetData sheetId="1506"/>
      <sheetData sheetId="1507" refreshError="1"/>
      <sheetData sheetId="1508" refreshError="1"/>
      <sheetData sheetId="1509"/>
      <sheetData sheetId="1510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Ик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.-взвеш. оценка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№3 Справочник &quot;Контрагенты&quot;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шины и оборудование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Пр"/>
      <sheetName val="Расчёт 2005"/>
      <sheetName val="МФТЦ"/>
      <sheetName val="Золотая гавань"/>
      <sheetName val="Брянцева"/>
      <sheetName val="Гражданка-Сити 1 оч."/>
      <sheetName val="Гражданка-Сити 2 оч."/>
      <sheetName val="Гражданка-Сити - 2"/>
      <sheetName val="Авангардная"/>
      <sheetName val="Полежаевский"/>
      <sheetName val="Созвездие 1 оч."/>
      <sheetName val="Созвездие 2 оч."/>
      <sheetName val="Созвездие 3 оч."/>
      <sheetName val="Пр. затр. по Созвездию-расчет"/>
      <sheetName val="пр. Славы"/>
      <sheetName val="Радуга"/>
      <sheetName val="Руднева"/>
      <sheetName val="Живой Ручей"/>
      <sheetName val="ул. Чекистов"/>
      <sheetName val="Параметры"/>
      <sheetName val="Оплата по графикам"/>
      <sheetName val="Сводная ЛССМУ"/>
      <sheetName val="Объекты_Подразделения_СтатьиДДС"/>
      <sheetName val="лист4"/>
      <sheetName val="cur_projects pl"/>
      <sheetName val="input data"/>
      <sheetName val="Расчёт_2005"/>
      <sheetName val="Золотая_гавань"/>
      <sheetName val="Гражданка-Сити_1_оч_"/>
      <sheetName val="Гражданка-Сити_2_оч_"/>
      <sheetName val="Гражданка-Сити_-_2"/>
      <sheetName val="Созвездие_1_оч_"/>
      <sheetName val="Созвездие_2_оч_"/>
      <sheetName val="Созвездие_3_оч_"/>
      <sheetName val="Пр__затр__по_Созвездию-расчет"/>
      <sheetName val="пр__Славы"/>
      <sheetName val="Живой_Ручей"/>
      <sheetName val="ул__Чекистов"/>
      <sheetName val="Оплата_по_графикам"/>
      <sheetName val="Сводная_ЛССМУ"/>
      <sheetName val="input_data"/>
      <sheetName val="cur_projects_pl"/>
      <sheetName val="Summary"/>
      <sheetName val="смета_Юшина"/>
      <sheetName val="баланс-2"/>
      <sheetName val="TABLO-3"/>
      <sheetName val="Адресная программа 13 10 05"/>
      <sheetName val="AOP Summary-2"/>
      <sheetName val="каскад,5"/>
      <sheetName val="Приложение 1"/>
      <sheetName val="бог"/>
      <sheetName val="мфтц,к.4"/>
      <sheetName val="Narratives-Subsidiarie"/>
      <sheetName val="ПМ_подписанный"/>
      <sheetName val="sheet1"/>
      <sheetName val="TEPs"/>
      <sheetName val="fitoutconfcentre"/>
      <sheetName val="Документы по сделке"/>
      <sheetName val="Полный перечень документов"/>
      <sheetName val="Документы от клиента"/>
      <sheetName val="ЛитБ"/>
      <sheetName val="Лист1-ЛССМУ"/>
      <sheetName val="статьи затрат"/>
      <sheetName val="текущие"/>
      <sheetName val="Земля"/>
      <sheetName val="Расчёт_20051"/>
      <sheetName val="Золотая_гавань1"/>
      <sheetName val="Гражданка-Сити_1_оч_1"/>
      <sheetName val="Гражданка-Сити_2_оч_1"/>
      <sheetName val="Гражданка-Сити_-_21"/>
      <sheetName val="Созвездие_1_оч_1"/>
      <sheetName val="Созвездие_2_оч_1"/>
      <sheetName val="Созвездие_3_оч_1"/>
      <sheetName val="Пр__затр__по_Созвездию-расчет1"/>
      <sheetName val="пр__Славы1"/>
      <sheetName val="Живой_Ручей1"/>
      <sheetName val="ул__Чекистов1"/>
      <sheetName val="Оплата_по_графикам1"/>
      <sheetName val="Сводная_ЛССМУ1"/>
      <sheetName val="cur_projects_pl1"/>
      <sheetName val="input_data1"/>
      <sheetName val="Адресная_программа_13_10_05"/>
      <sheetName val="Расчёт_20052"/>
      <sheetName val="Золотая_гавань2"/>
      <sheetName val="Гражданка-Сити_1_оч_2"/>
      <sheetName val="Гражданка-Сити_2_оч_2"/>
      <sheetName val="Гражданка-Сити_-_22"/>
      <sheetName val="Созвездие_1_оч_2"/>
      <sheetName val="Созвездие_2_оч_2"/>
      <sheetName val="Созвездие_3_оч_2"/>
      <sheetName val="Пр__затр__по_Созвездию-расчет2"/>
      <sheetName val="пр__Славы2"/>
      <sheetName val="Живой_Ручей2"/>
      <sheetName val="ул__Чекистов2"/>
      <sheetName val="Оплата_по_графикам2"/>
      <sheetName val="Сводная_ЛССМУ2"/>
      <sheetName val="cur_projects_pl2"/>
      <sheetName val="input_data2"/>
      <sheetName val="Адресная_программа_13_10_051"/>
      <sheetName val="AOP_Summary-2"/>
      <sheetName val="Документы_по_сделке"/>
      <sheetName val="Полный_перечень_документов"/>
      <sheetName val="Документы_от_клиента"/>
      <sheetName val="гр+"/>
      <sheetName val="Сводный-затраты"/>
      <sheetName val="Таблица"/>
      <sheetName val="finansal tamamlanma eğrisi"/>
      <sheetName val="comps"/>
      <sheetName val="Отчет о реализации площадей"/>
      <sheetName val="EKIPMAN"/>
      <sheetName val="31 EKİM 2006 PROJEKSİYON"/>
      <sheetName val="detailed breakdown cl"/>
      <sheetName val="cus_HK1033"/>
      <sheetName val="Расчёт_20053"/>
      <sheetName val="Золотая_гавань3"/>
      <sheetName val="Гражданка-Сити_1_оч_3"/>
      <sheetName val="Гражданка-Сити_2_оч_3"/>
      <sheetName val="Гражданка-Сити_-_23"/>
      <sheetName val="Созвездие_1_оч_3"/>
      <sheetName val="Созвездие_2_оч_3"/>
      <sheetName val="Созвездие_3_оч_3"/>
      <sheetName val="Пр__затр__по_Созвездию-расчет3"/>
      <sheetName val="пр__Славы3"/>
      <sheetName val="Живой_Ручей3"/>
      <sheetName val="ул__Чекистов3"/>
      <sheetName val="Оплата_по_графикам3"/>
      <sheetName val="POW"/>
      <sheetName val="OFFER SUMMARY (USD)"/>
      <sheetName val="Cost of MH"/>
      <sheetName val="Maliyet Analizleri"/>
      <sheetName val="Breakdown CAPEX (PBC)"/>
      <sheetName val="DATA"/>
      <sheetName val="Kapak"/>
      <sheetName val="Data Input"/>
      <sheetName val="1.1 Inputs"/>
    </sheetNames>
    <sheetDataSet>
      <sheetData sheetId="0" refreshError="1"/>
      <sheetData sheetId="1" refreshError="1">
        <row r="4">
          <cell r="K4">
            <v>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K4">
            <v>4000</v>
          </cell>
        </row>
      </sheetData>
      <sheetData sheetId="27">
        <row r="4">
          <cell r="K4">
            <v>4000</v>
          </cell>
        </row>
      </sheetData>
      <sheetData sheetId="28">
        <row r="4">
          <cell r="K4">
            <v>4000</v>
          </cell>
        </row>
      </sheetData>
      <sheetData sheetId="29">
        <row r="4">
          <cell r="K4">
            <v>4000</v>
          </cell>
        </row>
      </sheetData>
      <sheetData sheetId="30">
        <row r="4">
          <cell r="K4">
            <v>4000</v>
          </cell>
        </row>
      </sheetData>
      <sheetData sheetId="31">
        <row r="4">
          <cell r="K4">
            <v>4000</v>
          </cell>
        </row>
      </sheetData>
      <sheetData sheetId="32">
        <row r="4">
          <cell r="K4">
            <v>4000</v>
          </cell>
        </row>
      </sheetData>
      <sheetData sheetId="33">
        <row r="4">
          <cell r="K4">
            <v>4000</v>
          </cell>
        </row>
      </sheetData>
      <sheetData sheetId="34">
        <row r="4">
          <cell r="K4">
            <v>4000</v>
          </cell>
        </row>
      </sheetData>
      <sheetData sheetId="35">
        <row r="4">
          <cell r="K4">
            <v>4000</v>
          </cell>
        </row>
      </sheetData>
      <sheetData sheetId="36">
        <row r="4">
          <cell r="K4">
            <v>4000</v>
          </cell>
        </row>
      </sheetData>
      <sheetData sheetId="37">
        <row r="4">
          <cell r="K4">
            <v>4000</v>
          </cell>
        </row>
      </sheetData>
      <sheetData sheetId="38">
        <row r="4">
          <cell r="K4">
            <v>4000</v>
          </cell>
        </row>
      </sheetData>
      <sheetData sheetId="39">
        <row r="4">
          <cell r="K4">
            <v>4000</v>
          </cell>
        </row>
      </sheetData>
      <sheetData sheetId="40">
        <row r="4">
          <cell r="K4">
            <v>4000</v>
          </cell>
        </row>
      </sheetData>
      <sheetData sheetId="41">
        <row r="4">
          <cell r="K4">
            <v>4000</v>
          </cell>
        </row>
      </sheetData>
      <sheetData sheetId="42" refreshError="1"/>
      <sheetData sheetId="43" refreshError="1"/>
      <sheetData sheetId="44">
        <row r="4">
          <cell r="K4">
            <v>4000</v>
          </cell>
        </row>
      </sheetData>
      <sheetData sheetId="45">
        <row r="4">
          <cell r="K4">
            <v>4000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>
        <row r="4">
          <cell r="K4">
            <v>4000</v>
          </cell>
        </row>
      </sheetData>
      <sheetData sheetId="66">
        <row r="4">
          <cell r="K4">
            <v>4000</v>
          </cell>
        </row>
      </sheetData>
      <sheetData sheetId="67">
        <row r="4">
          <cell r="K4">
            <v>4000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 refreshError="1"/>
      <sheetData sheetId="133" refreshError="1"/>
      <sheetData sheetId="134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_подх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ВЫШЕ НОЛЯ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 Л1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 refreshError="1"/>
      <sheetData sheetId="1">
        <row r="5">
          <cell r="A5" t="str">
            <v>АНО</v>
          </cell>
        </row>
        <row r="6">
          <cell r="A6" t="str">
            <v>АО</v>
          </cell>
        </row>
        <row r="7">
          <cell r="A7" t="str">
            <v>АОЗТ</v>
          </cell>
        </row>
        <row r="8">
          <cell r="A8" t="str">
            <v>АООТ</v>
          </cell>
        </row>
        <row r="9">
          <cell r="A9" t="str">
            <v>Ассоциация</v>
          </cell>
        </row>
        <row r="10">
          <cell r="A10" t="str">
            <v>БФ</v>
          </cell>
        </row>
        <row r="11">
          <cell r="A11" t="str">
            <v>ЗАО</v>
          </cell>
        </row>
        <row r="12">
          <cell r="A12" t="str">
            <v>НКО</v>
          </cell>
        </row>
        <row r="13">
          <cell r="A13" t="str">
            <v>НП</v>
          </cell>
        </row>
        <row r="14">
          <cell r="A14" t="str">
            <v>ОАО</v>
          </cell>
        </row>
        <row r="15">
          <cell r="A15" t="str">
            <v>ОДО</v>
          </cell>
        </row>
        <row r="16">
          <cell r="A16" t="str">
            <v>ООО</v>
          </cell>
        </row>
        <row r="17">
          <cell r="A17" t="str">
            <v>ОРО</v>
          </cell>
        </row>
        <row r="18">
          <cell r="A18" t="str">
            <v>ПИФ</v>
          </cell>
        </row>
        <row r="19">
          <cell r="A19" t="str">
            <v>ПТ</v>
          </cell>
        </row>
        <row r="20">
          <cell r="A20" t="str">
            <v>НПФ</v>
          </cell>
        </row>
        <row r="21">
          <cell r="A21" t="str">
            <v>Союз</v>
          </cell>
        </row>
        <row r="22">
          <cell r="A22" t="str">
            <v>СП</v>
          </cell>
        </row>
        <row r="23">
          <cell r="A23" t="str">
            <v>ТНВ</v>
          </cell>
        </row>
        <row r="24">
          <cell r="A24" t="str">
            <v>ТОО</v>
          </cell>
        </row>
        <row r="25">
          <cell r="A25" t="str">
            <v>Учреждение</v>
          </cell>
        </row>
        <row r="26">
          <cell r="A26" t="str">
            <v>Фонд</v>
          </cell>
        </row>
        <row r="27">
          <cell r="A27" t="str">
            <v>AB</v>
          </cell>
        </row>
        <row r="28">
          <cell r="A28" t="str">
            <v>AS</v>
          </cell>
        </row>
        <row r="29">
          <cell r="A29" t="str">
            <v>BV</v>
          </cell>
        </row>
        <row r="30">
          <cell r="A30" t="str">
            <v>CORP</v>
          </cell>
        </row>
        <row r="31">
          <cell r="A31" t="str">
            <v>DOO</v>
          </cell>
        </row>
        <row r="32">
          <cell r="A32" t="str">
            <v>GMBH</v>
          </cell>
        </row>
        <row r="33">
          <cell r="A33" t="str">
            <v>INC</v>
          </cell>
        </row>
        <row r="34">
          <cell r="A34" t="str">
            <v>LTD</v>
          </cell>
        </row>
        <row r="35">
          <cell r="A35" t="str">
            <v>LLC</v>
          </cell>
        </row>
        <row r="36">
          <cell r="A36" t="str">
            <v>SA</v>
          </cell>
        </row>
        <row r="37">
          <cell r="A37" t="str">
            <v>SRO</v>
          </cell>
        </row>
        <row r="38">
          <cell r="A38" t="str">
            <v>FZE</v>
          </cell>
        </row>
        <row r="39">
          <cell r="A39" t="str">
            <v>UAB</v>
          </cell>
        </row>
      </sheetData>
      <sheetData sheetId="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ЭП 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 капитализации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_23Н (2)"/>
      <sheetName val="Сравн 23Н_2 (2)"/>
      <sheetName val="Сравн 23Н_3 (2)"/>
      <sheetName val="Сравн 23Н_4 (2)"/>
      <sheetName val="ОБЩЕЕ"/>
      <sheetName val="мса_ОФИС"/>
      <sheetName val="Доходный_23Н_аналоги"/>
      <sheetName val="Доходный_23Н"/>
      <sheetName val="Доходный_25Н"/>
      <sheetName val="РД"/>
      <sheetName val="Лист4"/>
      <sheetName val="ИТОГО"/>
      <sheetName val="мса_СКЛАД"/>
      <sheetName val="Доходный_аналоги_склады"/>
      <sheetName val="Лист3"/>
      <sheetName val="Доходный_4Н"/>
      <sheetName val="Доходный_2Н"/>
      <sheetName val="Доходный_7Н "/>
      <sheetName val="Доходный_9Н"/>
      <sheetName val="мса_ТОРГ"/>
      <sheetName val="Доходный_аналоги_25Н_ТОРГ"/>
      <sheetName val="Сравнительный_23Н_аналоги"/>
      <sheetName val="Сравн_23Н"/>
      <sheetName val="Сравн 23Н_2"/>
      <sheetName val="Сравн 23Н_3"/>
      <sheetName val="Сравн 23Н_4"/>
      <sheetName val="Сравнительный_аналоги_СКЛАД"/>
      <sheetName val="Сравн_СКЛАД "/>
      <sheetName val="Сравн СКЛАД_2 "/>
      <sheetName val="Сравн СКЛАД_3 "/>
      <sheetName val="Лист1"/>
      <sheetName val="Сравн СКЛАД_4 "/>
      <sheetName val="Сравнительный_аналоги_ТОРГОВЛЯ"/>
      <sheetName val="Сравн_25Н-ТОРГ"/>
      <sheetName val="Сравн 25Н_2"/>
      <sheetName val="Сравн 25Н_3"/>
      <sheetName val="Сравн 25Н_4"/>
      <sheetName val="константы"/>
      <sheetName val="НФИк"/>
      <sheetName val="СВОД"/>
      <sheetName val="описание"/>
      <sheetName val="Нача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торн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...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а_СКЛАД"/>
    </sheetNames>
    <sheetDataSet>
      <sheetData sheetId="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вед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C_ratios_Jun"/>
      <sheetName val="Read me first"/>
    </sheet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иточки"/>
    </sheetNames>
    <sheetDataSet>
      <sheetData sheetId="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Цеховые"/>
      <sheetName val="предприятия"/>
      <sheetName val="KEY"/>
      <sheetName val="Формы планов 9.72"/>
      <sheetName val="1.411.1"/>
      <sheetName val="УПС 2007"/>
      <sheetName val="УПС 2006"/>
      <sheetName val="TasAt"/>
      <sheetName val="Пояснение "/>
      <sheetName val="8.a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огласование"/>
      <sheetName val="Затратный"/>
      <sheetName val="Сравнительный"/>
      <sheetName val="Регрессии"/>
      <sheetName val="Оргтехника"/>
      <sheetName val="Группы"/>
      <sheetName val="Свод"/>
      <sheetName val="ФИ"/>
      <sheetName val="Износ"/>
      <sheetName val="Ликвидность"/>
      <sheetName val="Средний пролет"/>
      <sheetName val="Коэффициенты"/>
    </sheetNames>
    <sheetDataSet>
      <sheetData sheetId="0">
        <row r="1">
          <cell r="B1">
            <v>42400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</sheet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Balance Sheet"/>
      <sheetName val="Смета"/>
      <sheetName val="Инвестиции(18)"/>
      <sheetName val="Начало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Inside"/>
    </sheetNames>
    <sheetDataSet>
      <sheetData sheetId="0" refreshError="1"/>
      <sheetData sheetId="1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"/>
      <sheetName val="Help"/>
      <sheetName val="Subsidiary Debt"/>
      <sheetName val="Дополнительно"/>
    </sheetNames>
    <sheetDataSet>
      <sheetData sheetId="0" refreshError="1"/>
      <sheetData sheetId="1"/>
      <sheetData sheetId="2">
        <row r="2">
          <cell r="A2" t="str">
            <v>ABN AMRO Bank</v>
          </cell>
        </row>
      </sheetData>
      <sheetData sheetId="3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2,0201,1010,0"/>
    </sheetNames>
    <sheetDataSet>
      <sheetData sheetId="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09 января 2004"/>
      <sheetName val="12-16 января 2004"/>
      <sheetName val="19-23 января 2004"/>
      <sheetName val="26-30 января 2004 "/>
      <sheetName val="02-06 февраля 2004 "/>
      <sheetName val="09-13 февраля 2004  "/>
      <sheetName val="16-20 февраля 2004  "/>
      <sheetName val="24-27 февраля 2004  "/>
      <sheetName val="01-05 марта 2004 "/>
      <sheetName val="09-12 марта 2004 "/>
      <sheetName val="15-19 марта 2004 "/>
      <sheetName val="22-26 марта 2004 "/>
      <sheetName val="29.03-02.04.2004"/>
      <sheetName val="05-09 апреля 2004 "/>
      <sheetName val="12-16 апреля 2004 "/>
      <sheetName val="19-23 апреля 2004  "/>
      <sheetName val="26-30 апреля 2004  "/>
      <sheetName val="11-14 мая 2004"/>
      <sheetName val="17-21 мая 2004 "/>
      <sheetName val="24-28 мая 2004 "/>
      <sheetName val="31 мая -04 июня 2004  "/>
      <sheetName val="15-18 июня 2004  "/>
      <sheetName val="21-25 июня 2004   "/>
      <sheetName val="28 июня-2 июля 2004"/>
      <sheetName val="05-09 июля 2004 "/>
      <sheetName val="12-16 июля 2004  "/>
      <sheetName val="19-23 июля 2004"/>
      <sheetName val="26-30 июля 2004 "/>
      <sheetName val="02-06 августа 2004"/>
      <sheetName val="09-13 августа 2004 "/>
      <sheetName val="16-20 августа 2004  "/>
      <sheetName val="23-27 августа 2004   "/>
      <sheetName val="30 авг 2004 - 3 сент"/>
      <sheetName val="06-10 сентября"/>
      <sheetName val="13-17 сентября "/>
      <sheetName val="20-24 сентября "/>
      <sheetName val="27 сент-01 октября"/>
      <sheetName val="04-08 октября "/>
      <sheetName val="11-15 октября"/>
      <sheetName val="18-22 октября"/>
      <sheetName val="25-29 октября"/>
      <sheetName val="01-05 ноября 2004"/>
      <sheetName val="09-12 ноября 2004 "/>
      <sheetName val="15-19 ноября 2004 "/>
      <sheetName val="20-24 декабря 2004 "/>
      <sheetName val="27-31 декабря 2004"/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_sheet"/>
    </sheetNames>
    <sheetDataSet>
      <sheetData sheetId="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s"/>
      <sheetName val="BaseTable"/>
    </sheet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"/>
    </sheetNames>
    <sheetDataSet>
      <sheetData sheetId="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Credit portfolio"/>
    </sheetNames>
    <sheetDataSet>
      <sheetData sheetId="0" refreshError="1"/>
      <sheetData sheetId="1">
        <row r="6">
          <cell r="G6" t="str">
            <v>Yes</v>
          </cell>
        </row>
        <row r="7">
          <cell r="G7" t="str">
            <v>No</v>
          </cell>
        </row>
        <row r="10">
          <cell r="G10" t="str">
            <v>Significant (&gt;= 30%)</v>
          </cell>
        </row>
        <row r="11">
          <cell r="G11" t="str">
            <v>Adequate (15-30%)</v>
          </cell>
        </row>
        <row r="12">
          <cell r="G12" t="str">
            <v>Tight (5-15%)</v>
          </cell>
        </row>
        <row r="13">
          <cell r="G13" t="str">
            <v>Possible breach</v>
          </cell>
        </row>
        <row r="14">
          <cell r="G14" t="str">
            <v>Breach</v>
          </cell>
        </row>
        <row r="15">
          <cell r="G15" t="str">
            <v>Waiver asked</v>
          </cell>
        </row>
        <row r="16">
          <cell r="G16" t="str">
            <v>Waiver obtained</v>
          </cell>
        </row>
        <row r="17">
          <cell r="G17" t="str">
            <v>Not applicable</v>
          </cell>
        </row>
        <row r="20">
          <cell r="G20" t="str">
            <v>Strongly positive</v>
          </cell>
        </row>
        <row r="21">
          <cell r="G21" t="str">
            <v>Positive</v>
          </cell>
        </row>
        <row r="22">
          <cell r="G22" t="str">
            <v>Neutral</v>
          </cell>
        </row>
        <row r="23">
          <cell r="G23" t="str">
            <v>Negative</v>
          </cell>
        </row>
        <row r="24">
          <cell r="G24" t="str">
            <v>Strongly negative</v>
          </cell>
        </row>
      </sheetData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</sheetNames>
    <sheetDataSet>
      <sheetData sheetId="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EADME"/>
      <sheetName val="REGISTR"/>
      <sheetName val="ALT-INFO"/>
      <sheetName val="DIAG1"/>
      <sheetName val="DIAG2"/>
      <sheetName val="DIAG3"/>
      <sheetName val="DIAG4"/>
      <sheetName val="DIAG5"/>
      <sheetName val="SENSITIVITY"/>
      <sheetName val="DIAG6"/>
      <sheetName val="DIAG7"/>
      <sheetName val="DIAG8"/>
      <sheetName val="MACRO"/>
      <sheetName val="Нац"/>
      <sheetName val="Корп стор"/>
      <sheetName val="КЦБК"/>
      <sheetName val="ЦО"/>
      <sheetName val="ЦОкр"/>
      <sheetName val="ЦОразв"/>
      <sheetName val="стор"/>
      <sheetName val="ГСМ2"/>
      <sheetName val="од.м1"/>
      <sheetName val="гарн"/>
      <sheetName val="уп"/>
      <sheetName val="фил"/>
      <sheetName val="топ"/>
      <sheetName val="ТМЦ доч"/>
      <sheetName val="МатЦБК"/>
      <sheetName val="хим"/>
      <sheetName val="хим1"/>
      <sheetName val="Поясн"/>
      <sheetName val="одм"/>
      <sheetName val="Рен"/>
      <sheetName val="ИнвЦБК"/>
      <sheetName val="ИнвЦБК1"/>
      <sheetName val="Техобс"/>
      <sheetName val="Мет"/>
      <sheetName val="АТС"/>
      <sheetName val="Финтр"/>
      <sheetName val="Ссф"/>
      <sheetName val="МатЭКС"/>
      <sheetName val="Хоз"/>
      <sheetName val="Амор"/>
      <sheetName val="ЭнрЭксим"/>
      <sheetName val="ИнЭК06"/>
      <sheetName val="Пред"/>
      <sheetName val="топЭКС"/>
      <sheetName val="Перс"/>
      <sheetName val="ПЖТ"/>
      <sheetName val="Радиац"/>
      <sheetName val="% кр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</sheetNames>
    <sheetDataSet>
      <sheetData sheetId="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SPRAV"/>
    </sheetNames>
    <sheetDataSet>
      <sheetData sheetId="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СВОД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Метод остатка"/>
      <sheetName val="Glossary"/>
      <sheetName val="Brif_zdanie"/>
      <sheetName val="Выписка_РФИ"/>
      <sheetName val="Имущество_элементы"/>
      <sheetName val="Read me first"/>
      <sheetName val="TT_03_12_01п"/>
      <sheetName val="Rev"/>
      <sheetName val="DCF"/>
      <sheetName val="TOC"/>
      <sheetName val="ОСЗ"/>
      <sheetName val="исход-итог"/>
      <sheetName val="14.ДП"/>
      <sheetName val="1.ИСХ "/>
      <sheetName val="Ставка Д"/>
      <sheetName val="Инвест-пр1"/>
      <sheetName val="Инвест-пр4"/>
      <sheetName val="ТЭП Многофункц"/>
      <sheetName val="общее"/>
      <sheetName val="ТЭП по 1вар АНЭИ "/>
      <sheetName val="Затраты оф компл "/>
      <sheetName val="подз паркинг под оф"/>
      <sheetName val="от закзчика"/>
      <sheetName val="Содержание"/>
      <sheetName val="Profits&amp;Loses"/>
      <sheetName val="F1"/>
      <sheetName val="Inputs"/>
      <sheetName val="Проект"/>
      <sheetName val="Для расчета амортизации"/>
      <sheetName val="восст"/>
      <sheetName val="Const"/>
      <sheetName val="затр_подх"/>
      <sheetName val="APP"/>
      <sheetName val="Sheet2"/>
      <sheetName val="Параметры"/>
      <sheetName val="коррект земля офис"/>
      <sheetName val="Лист1"/>
      <sheetName val="общие данные"/>
      <sheetName val="график01.09.02"/>
      <sheetName val="график строительства"/>
      <sheetName val="Инд"/>
      <sheetName val="КС"/>
      <sheetName val="Annexe"/>
      <sheetName val="КФВ"/>
      <sheetName val="ОД"/>
      <sheetName val="ПВД"/>
      <sheetName val="Исходное"/>
      <sheetName val="3.ЗАТРАТЫ"/>
      <sheetName val="Док+Исх"/>
      <sheetName val="d_p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0">
          <cell r="D10" t="str">
            <v>ОАО "Псковская ГРЭС"</v>
          </cell>
        </row>
        <row r="13">
          <cell r="D13">
            <v>0.5</v>
          </cell>
        </row>
        <row r="14">
          <cell r="D14">
            <v>38169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ropdown list"/>
      <sheetName val="Sheet2"/>
    </sheetNames>
    <sheetDataSet>
      <sheetData sheetId="0"/>
      <sheetData sheetId="1">
        <row r="2">
          <cell r="A2" t="str">
            <v>Sale</v>
          </cell>
          <cell r="E2" t="str">
            <v>LLR</v>
          </cell>
        </row>
        <row r="3">
          <cell r="A3" t="str">
            <v>Lease</v>
          </cell>
          <cell r="E3" t="str">
            <v>ETR</v>
          </cell>
        </row>
        <row r="4">
          <cell r="A4" t="str">
            <v>Sublease</v>
          </cell>
          <cell r="E4" t="str">
            <v>LLR/ETR</v>
          </cell>
        </row>
      </sheetData>
      <sheetData sheetId="2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</sheetNames>
    <sheetDataSet>
      <sheetData sheetId="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  <sheetName val="Dates"/>
      <sheetName val="Таблица рассрочки"/>
      <sheetName val="temp_for_sw"/>
      <sheetName val="rates_for_sw"/>
      <sheetName val="G"/>
      <sheetName val="costs_whole_for_sw"/>
      <sheetName val="Газ_и_э-э"/>
      <sheetName val="БДР_кв"/>
      <sheetName val="GLC_ratios_Jun"/>
      <sheetName val="sheet0"/>
      <sheetName val="GAAP 0302"/>
      <sheetName val="Общее"/>
      <sheetName val="Sheet1"/>
      <sheetName val="Plan_acc_"/>
      <sheetName val="kesif"/>
      <sheetName val="Breakdown CAPEX (PBC)"/>
      <sheetName val="Presentation_Output1"/>
      <sheetName val="NASE_Oil-Revenue1"/>
      <sheetName val="Balance_Sh+Indices1"/>
      <sheetName val="Исходные_данные1"/>
      <sheetName val="БДР,_БДДС_по_месяцам_(прям)1"/>
      <sheetName val="БДР,_БДДС_по_месяцам_(косв)1"/>
      <sheetName val="Капитальные_затраты1"/>
      <sheetName val="Анализ_Монте-Карло1"/>
      <sheetName val="LFA_20011"/>
      <sheetName val="Natl_Consult_Reg_1"/>
      <sheetName val="Cost_Allocation1"/>
      <sheetName val="1996_год"/>
      <sheetName val="VCost,_usl"/>
      <sheetName val="U2_60_Capital_repairs"/>
      <sheetName val="Comps_analysis_(spare)"/>
      <sheetName val="Proj__Bal_"/>
      <sheetName val="Income_Statement"/>
      <sheetName val="курс"/>
      <sheetName val="Параметры"/>
      <sheetName val="KeyStats"/>
      <sheetName val="неделя"/>
      <sheetName val="Списки"/>
      <sheetName val="AGBR"/>
      <sheetName val="Financials"/>
      <sheetName val="GEN_INFO"/>
      <sheetName val="Riders for Info Pack"/>
      <sheetName val="control"/>
      <sheetName val="KUR"/>
      <sheetName val="Номенклатура"/>
      <sheetName val="C.1.D.1.РСП"/>
      <sheetName val="константы"/>
      <sheetName val="siva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Read me first"/>
      <sheetName val="инжиниринг"/>
      <sheetName val="data"/>
      <sheetName val="balance_sheet"/>
      <sheetName val="отчетность (радиоволна)"/>
      <sheetName val="TimeLine"/>
      <sheetName val="Cash in"/>
      <sheetName val="доходы"/>
      <sheetName val="HUD YOLU DUVAR 8 MT"/>
      <sheetName val="УПР"/>
      <sheetName val="open3200"/>
      <sheetName val="свод бддс "/>
      <sheetName val="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свед"/>
      <sheetName val="master cashflows - contractual"/>
      <sheetName val="A"/>
      <sheetName val="FORM B; FORM B1"/>
      <sheetName val="GSChartLabels"/>
      <sheetName val="Grouplist"/>
      <sheetName val="segments"/>
      <sheetName val="Options"/>
      <sheetName val="UPS SI System DDP Moscow"/>
      <sheetName val="Справочники таблиц"/>
      <sheetName val="версия 1"/>
      <sheetName val="Brdwn"/>
      <sheetName val="топография"/>
      <sheetName val="FST5"/>
      <sheetName val="себ-сть Б"/>
      <sheetName val="Data BURKOL"/>
      <sheetName val="BEF_2009"/>
      <sheetName val="FX"/>
      <sheetName val="INVESTISSEMENTS"/>
      <sheetName val="Газ_и_э-э1"/>
      <sheetName val="БДР_кв1"/>
      <sheetName val="Таблица_рассрочки"/>
      <sheetName val="GAAP_0302"/>
      <sheetName val="Riders_for_Info_Pack"/>
      <sheetName val="Tabla"/>
      <sheetName val="ВКЗ"/>
      <sheetName val="12 кред ф баланс"/>
      <sheetName val="Авансы полученные"/>
      <sheetName val="Авансы уплаченные"/>
      <sheetName val="итог"/>
      <sheetName val="TESİSAT"/>
      <sheetName val="#ССЫЛКА"/>
      <sheetName val="Титульный лист"/>
      <sheetName val="44"/>
      <sheetName val="tickmarks"/>
      <sheetName val="ex-rates"/>
      <sheetName val="B inputs"/>
      <sheetName val="справочники"/>
      <sheetName val="KrasInputs"/>
      <sheetName val="OMinputs"/>
      <sheetName val="TVinputs"/>
      <sheetName val="Variables"/>
      <sheetName val="rje"/>
      <sheetName val="REESTR_MO"/>
      <sheetName val="TEHSHEET"/>
      <sheetName val="Титульный"/>
      <sheetName val="Globals"/>
      <sheetName val="Kr"/>
      <sheetName val="Assumptions"/>
      <sheetName val="kpi"/>
      <sheetName val="BS _RAS_"/>
      <sheetName val="data ofa"/>
      <sheetName val="График экск."/>
      <sheetName val="Proforma"/>
      <sheetName val="Presentation income statement"/>
      <sheetName val="SWBD-CB"/>
      <sheetName val="холдинг"/>
      <sheetName val="Админ"/>
      <sheetName val="ИСХ_ИНФ"/>
      <sheetName val="Inventories as of 03.20"/>
      <sheetName val="Flow_summary"/>
      <sheetName val="Generator_summary"/>
      <sheetName val="Inventories_as_of_03_20"/>
      <sheetName val="#¡REF"/>
      <sheetName val="1999-veca"/>
      <sheetName val="Справочник статей"/>
      <sheetName val="Станд.кор"/>
      <sheetName val="Нестанд.кор"/>
      <sheetName val="НМА"/>
      <sheetName val="ОС"/>
      <sheetName val="лимиты"/>
      <sheetName val="каменских и.м."/>
      <sheetName val="Risk-Free Rate"/>
      <sheetName val="Data Sheet"/>
      <sheetName val="бюджет ремонтов"/>
      <sheetName val="формат_бухг_разбивка сотруднико"/>
      <sheetName val="1"/>
      <sheetName val="2"/>
      <sheetName val="2.1"/>
      <sheetName val="2.2"/>
      <sheetName val="2.3"/>
      <sheetName val="РчСтЭЭ (УП)"/>
      <sheetName val="РчСтЭЭ (Ф)"/>
      <sheetName val="РчСтГМ (УП)"/>
      <sheetName val="РчСтГМ (Ф)"/>
      <sheetName val="Ìàêðî"/>
      <sheetName val="Cover _ Parameters"/>
      <sheetName val="5"/>
      <sheetName val="Ââîä"/>
      <sheetName val="Transmittal_In"/>
      <sheetName val="Fin.result"/>
      <sheetName val="Monte-Carlo"/>
      <sheetName val="Forecast Drivers"/>
      <sheetName val="t1"/>
      <sheetName val="Projections"/>
      <sheetName val="GENERAL INFO"/>
      <sheetName val="shpr&amp;vol"/>
      <sheetName val="table data"/>
      <sheetName val="Presentation_Output3"/>
      <sheetName val="NASE_Oil-Revenue3"/>
      <sheetName val="Balance_Sh+Indices3"/>
      <sheetName val="Исходные_данные3"/>
      <sheetName val="БДР,_БДДС_по_месяцам_(прям)3"/>
      <sheetName val="БДР,_БДДС_по_месяцам_(косв)3"/>
      <sheetName val="Капитальные_затраты3"/>
      <sheetName val="Анализ_Монте-Карло3"/>
      <sheetName val="LFA_20013"/>
      <sheetName val="Natl_Consult_Reg_3"/>
      <sheetName val="Cost_Allocation3"/>
      <sheetName val="1996_год2"/>
      <sheetName val="Газ_и_э-э3"/>
      <sheetName val="БДР_кв3"/>
      <sheetName val="VCost,_usl2"/>
      <sheetName val="U2_60_Capital_repairs2"/>
      <sheetName val="Comps_analysis_(spare)2"/>
      <sheetName val="Proj__Bal_2"/>
      <sheetName val="Income_Statement2"/>
      <sheetName val="Таблица_рассрочки2"/>
      <sheetName val="Presentation_Output2"/>
      <sheetName val="NASE_Oil-Revenue2"/>
      <sheetName val="Balance_Sh+Indices2"/>
      <sheetName val="Исходные_данные2"/>
      <sheetName val="БДР,_БДДС_по_месяцам_(прям)2"/>
      <sheetName val="БДР,_БДДС_по_месяцам_(косв)2"/>
      <sheetName val="Капитальные_затраты2"/>
      <sheetName val="Анализ_Монте-Карло2"/>
      <sheetName val="LFA_20012"/>
      <sheetName val="Natl_Consult_Reg_2"/>
      <sheetName val="Cost_Allocation2"/>
      <sheetName val="1996_год1"/>
      <sheetName val="Газ_и_э-э2"/>
      <sheetName val="БДР_кв2"/>
      <sheetName val="VCost,_usl1"/>
      <sheetName val="U2_60_Capital_repairs1"/>
      <sheetName val="Comps_analysis_(spare)1"/>
      <sheetName val="Proj__Bal_1"/>
      <sheetName val="Income_Statement1"/>
      <sheetName val="Таблица_рассрочки1"/>
      <sheetName val="Anlagevermögen"/>
      <sheetName val="teo model"/>
      <sheetName val="sal"/>
      <sheetName val="Опции"/>
      <sheetName val="CALC"/>
      <sheetName val="Итого М. (2)"/>
      <sheetName val="Occ"/>
      <sheetName val="Summ"/>
      <sheetName val="Plan"/>
      <sheetName val="Финпоказатели"/>
      <sheetName val="Dutch Peers data"/>
      <sheetName val="SI"/>
      <sheetName val="справка"/>
      <sheetName val="Planalto_2012"/>
      <sheetName val="LiB"/>
      <sheetName val="share price 2002"/>
      <sheetName val="ref"/>
      <sheetName val="Svr Eur"/>
      <sheetName val="EMBI"/>
      <sheetName val="% гп 2 зар"/>
      <sheetName val="MAIN"/>
      <sheetName val="fes"/>
      <sheetName val="Корр"/>
      <sheetName val="Справочники WFM"/>
      <sheetName val="Бпроектов и расх.для БДР 2009"/>
      <sheetName val="МАТРИЦА"/>
      <sheetName val="Динамика цен"/>
      <sheetName val="Производство молока"/>
      <sheetName val="Title"/>
      <sheetName val="корпус 1_2выписка"/>
      <sheetName val="корпус 1_3"/>
      <sheetName val="корпус 1_3выписка"/>
      <sheetName val="Лист2"/>
      <sheetName val="Реестр договоров"/>
      <sheetName val="AOP Summary-2"/>
      <sheetName val="C.1.Допущения"/>
      <sheetName val="C.1.D.1.Допущения"/>
      <sheetName val="C.1.D.1.Технический лист"/>
      <sheetName val="C.1.D.1.Себестоимость"/>
      <sheetName val="C.1.D.1.ПрочаяВыручка"/>
      <sheetName val="C.1.D.1.Цена"/>
      <sheetName val="C.1.D.1.Производство"/>
      <sheetName val="C.1.D.1.Выручка"/>
      <sheetName val="C.1.D.1.КоммУпрРасх"/>
      <sheetName val="C.1.D.2.Допущения"/>
      <sheetName val="C.1.D.2.Технический лист"/>
      <sheetName val="C.1.D.2.Себестоимость"/>
      <sheetName val="C.1.D.2.ПрочаяВыручка"/>
      <sheetName val="C.1.D.2.Цена"/>
      <sheetName val="C.1.D.2.Производство"/>
      <sheetName val="C.1.D.2.Выручка"/>
      <sheetName val="C.1.D.2.КоммУпрРасх"/>
      <sheetName val="C.1.Долг"/>
      <sheetName val="C.1.Себестоимость"/>
      <sheetName val="C.1.Цена"/>
      <sheetName val="C.1.Производство"/>
      <sheetName val="Автосуммирование"/>
      <sheetName val="C.1.КоммУпрРасх"/>
      <sheetName val="C.1.Консолидация"/>
      <sheetName val="Choice"/>
      <sheetName val="Dir"/>
      <sheetName val="C.1.ОДДС"/>
      <sheetName val="C.1.Проверки"/>
      <sheetName val="C.1.Выручка"/>
      <sheetName val="Лист1"/>
      <sheetName val="мироненко"/>
      <sheetName val="Сводная таблица пользователей"/>
      <sheetName val="2.3."/>
      <sheetName val="3.0.4."/>
      <sheetName val="3.1.1."/>
      <sheetName val="3.1.2."/>
      <sheetName val="3.1.3."/>
      <sheetName val="3.1.4."/>
      <sheetName val="3.2.1."/>
      <sheetName val="3.2.2."/>
      <sheetName val="3.2.3."/>
      <sheetName val="3.2.4."/>
      <sheetName val="3.3.1."/>
      <sheetName val="3.3.3."/>
      <sheetName val="3.3.4."/>
      <sheetName val="3.4.1."/>
      <sheetName val="3.4.3."/>
      <sheetName val="3.4.4."/>
      <sheetName val="3.5.1."/>
      <sheetName val="4.0.3."/>
      <sheetName val="4.1.1."/>
      <sheetName val="4.1.2."/>
      <sheetName val="4.1.3."/>
      <sheetName val="4.2.1."/>
      <sheetName val="4.2.2."/>
      <sheetName val="4.2.3."/>
      <sheetName val="4.3.1."/>
      <sheetName val="4.3.2."/>
      <sheetName val="4.3.3."/>
      <sheetName val="4.4.1."/>
      <sheetName val="4.4.2."/>
      <sheetName val="4.5."/>
      <sheetName val="4.6."/>
      <sheetName val="5.4.0."/>
      <sheetName val="5.4.1."/>
      <sheetName val="Справочник"/>
      <sheetName val="PARAMETRES"/>
      <sheetName val="пр-во"/>
      <sheetName val="ФСИ-БУ-70_71"/>
      <sheetName val="ФСИ-БУ-75"/>
      <sheetName val="ФСИ-БУ-76"/>
      <sheetName val="ФСИ-БУ-97"/>
      <sheetName val="ФСИ-БУ-99"/>
      <sheetName val="ПДРпоТЗдейств"/>
      <sheetName val="ЗакТек"/>
      <sheetName val="ПРдбп"/>
      <sheetName val="Себ"/>
      <sheetName val="Соц"/>
      <sheetName val="МеропрСвод"/>
      <sheetName val="Сметы"/>
      <sheetName val="Запасы"/>
      <sheetName val="ФинИнв"/>
      <sheetName val="КМР"/>
      <sheetName val="БИФ"/>
      <sheetName val="Плат"/>
      <sheetName val="РБП"/>
      <sheetName val="ОСиНМА"/>
      <sheetName val="ПДРпоТЗсопост"/>
      <sheetName val="ПрДР"/>
      <sheetName val="Кредиты"/>
      <sheetName val="Перс"/>
      <sheetName val="Поступл"/>
      <sheetName val="ПРтпп"/>
      <sheetName val="ХранилищеСкрыть"/>
      <sheetName val="ListSetup"/>
      <sheetName val="Filtr"/>
      <sheetName val="Основной расчётный лист"/>
      <sheetName val="Сводный лист"/>
      <sheetName val="Сводный бюджет"/>
      <sheetName val="PPM RF"/>
      <sheetName val="koszty"/>
      <sheetName val="boq 104 ad 2 excav"/>
      <sheetName val="АСГВК"/>
      <sheetName val="СВР"/>
      <sheetName val="Presentation_Output4"/>
      <sheetName val="NASE_Oil-Revenue4"/>
      <sheetName val="Balance_Sh+Indices4"/>
      <sheetName val="Исходные_данные4"/>
      <sheetName val="БДР,_БДДС_по_месяцам_(прям)4"/>
      <sheetName val="БДР,_БДДС_по_месяцам_(косв)4"/>
      <sheetName val="Капитальные_затраты4"/>
      <sheetName val="Анализ_Монте-Карло4"/>
      <sheetName val="LFA_20014"/>
      <sheetName val="Natl_Consult_Reg_4"/>
      <sheetName val="Cost_Allocation4"/>
      <sheetName val="1996_год3"/>
      <sheetName val="Газ_и_э-э4"/>
      <sheetName val="БДР_кв4"/>
      <sheetName val="VCost,_usl3"/>
      <sheetName val="U2_60_Capital_repairs3"/>
      <sheetName val="Comps_analysis_(spare)3"/>
      <sheetName val="Proj__Bal_3"/>
      <sheetName val="Income_Statement3"/>
      <sheetName val="Таблица_рассрочки3"/>
      <sheetName val="Scen"/>
      <sheetName val="Entities"/>
      <sheetName val="Summary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</sheetNames>
    <sheetDataSet>
      <sheetData sheetId="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</sheetNames>
    <sheetDataSet>
      <sheetData sheetId="0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ищевое пр-во"/>
      <sheetName val="01_01_08"/>
      <sheetName val="01_02_08"/>
      <sheetName val="Г_Ю_"/>
      <sheetName val="Солдатова НА"/>
      <sheetName val="анализ площадей"/>
      <sheetName val="Долгосрочные"/>
      <sheetName val="анализ 2007"/>
      <sheetName val="Список для Сахарука"/>
      <sheetName val="_сводная таблица"/>
      <sheetName val="Спис_ Св_Эст_"/>
      <sheetName val="Список для анализа"/>
      <sheetName val="список по Энгельса"/>
      <sheetName val="График платы Клик"/>
      <sheetName val="Арендат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port"/>
    </sheetNames>
    <sheetDataSet>
      <sheetData sheetId="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</sheetNames>
    <sheetDataSet>
      <sheetData sheetId="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cs_Values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3"/>
      <sheetName val="Sheet4"/>
    </sheetNames>
    <sheetDataSet>
      <sheetData sheetId="0"/>
      <sheetData sheetId="1">
        <row r="133">
          <cell r="L133">
            <v>380.20721170408723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4" refreshError="1"/>
      <sheetData sheetId="15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Лист2"/>
      <sheetName val="Лист3"/>
      <sheetName val="Existing"/>
      <sheetName val="Лист4"/>
      <sheetName val="Лист1"/>
      <sheetName val="2014"/>
      <sheetName val="2015"/>
      <sheetName val="UC_and_P"/>
      <sheetName val="2016"/>
      <sheetName val="Weight average"/>
      <sheetName val="op.ex."/>
      <sheetName val="DropDownList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Incl</v>
          </cell>
        </row>
        <row r="2">
          <cell r="A2" t="str">
            <v>TBD</v>
          </cell>
        </row>
        <row r="3">
          <cell r="A3" t="str">
            <v>Open book</v>
          </cell>
        </row>
        <row r="4">
          <cell r="A4" t="str">
            <v>Define</v>
          </cell>
        </row>
      </sheetData>
      <sheetData sheetId="15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Cap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CC"/>
    </sheetNames>
    <sheetDataSet>
      <sheetData sheetId="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"/>
      <sheetName val="Ко"/>
      <sheetName val="ДАННЫЕ"/>
      <sheetName val="земля"/>
      <sheetName val="затратный "/>
      <sheetName val="аналоги_Сравн"/>
      <sheetName val="аналоги_доходн"/>
      <sheetName val="доходный"/>
      <sheetName val="Согласование"/>
      <sheetName val="вывод"/>
      <sheetName val="Лист1"/>
      <sheetName val="Аренда"/>
      <sheetName val="Таблица 8"/>
      <sheetName val="F1_detail"/>
    </sheetNames>
    <sheetDataSet>
      <sheetData sheetId="0" refreshError="1"/>
      <sheetData sheetId="1" refreshError="1"/>
      <sheetData sheetId="2" refreshError="1">
        <row r="17">
          <cell r="C17">
            <v>28.554400000000001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</sheetNames>
    <sheetDataSet>
      <sheetData sheetId="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"/>
      <sheetName val="Возврат"/>
      <sheetName val="Черновик"/>
      <sheetName val="Параметры"/>
      <sheetName val="POW"/>
      <sheetName val="Таблица"/>
      <sheetName val="лист4"/>
      <sheetName val="Summary"/>
      <sheetName val="cus_HK1033"/>
      <sheetName val="Breakdown CAPEX (PBC)"/>
      <sheetName val="AOP Summary-2"/>
      <sheetName val="кодировка"/>
      <sheetName val="_Ф2"/>
      <sheetName val="Незав.пр-во "/>
      <sheetName val="4"/>
      <sheetName val="cur_projects pl"/>
      <sheetName val="1.2.1"/>
      <sheetName val="гр+"/>
      <sheetName val="ВводД"/>
      <sheetName val="проект"/>
      <sheetName val="sheet1"/>
      <sheetName val="sal"/>
      <sheetName val="сводная лссму"/>
      <sheetName val="Adam-saat Kod"/>
      <sheetName val="mp-var-001"/>
      <sheetName val="electric mechanic"/>
      <sheetName val="Kurlar"/>
      <sheetName val="#ref"/>
      <sheetName val="Parite"/>
      <sheetName val="b25 (m350) beton maliyet analiz"/>
      <sheetName val="Data Sheet"/>
      <sheetName val="Direct Budget"/>
      <sheetName val="10"/>
      <sheetName val="5"/>
      <sheetName val="Tables"/>
      <sheetName val="14"/>
      <sheetName val="kur-parite"/>
      <sheetName val="списки"/>
      <sheetName val="ТЭП"/>
      <sheetName val="AOP_Summary-2"/>
      <sheetName val="Breakdown_CAPEX_(PBC)"/>
      <sheetName val="каскад,5"/>
      <sheetName val="бог"/>
      <sheetName val="мфтц,к.4"/>
      <sheetName val="Справочники"/>
    </sheetNames>
    <sheetDataSet>
      <sheetData sheetId="0"/>
      <sheetData sheetId="1"/>
      <sheetData sheetId="2" refreshError="1">
        <row r="1">
          <cell r="A1" t="str">
            <v>Приложение к ТЭО.         Денежные потоки в</v>
          </cell>
          <cell r="D1" t="str">
            <v xml:space="preserve">инвестиционной программе "Север"  ССМО ЛенСпецСМУ на 10лет </v>
          </cell>
        </row>
        <row r="2">
          <cell r="G2">
            <v>217.4</v>
          </cell>
          <cell r="M2" t="str">
            <v>Ед. изм.:  тысячи US $</v>
          </cell>
        </row>
        <row r="3">
          <cell r="A3" t="str">
            <v>Наименование объекта</v>
          </cell>
          <cell r="B3" t="str">
            <v>Период  Всего</v>
          </cell>
          <cell r="C3">
            <v>36526</v>
          </cell>
          <cell r="D3">
            <v>36892</v>
          </cell>
          <cell r="E3">
            <v>37258</v>
          </cell>
          <cell r="F3">
            <v>37624</v>
          </cell>
          <cell r="G3">
            <v>37990</v>
          </cell>
          <cell r="H3">
            <v>38356</v>
          </cell>
          <cell r="I3">
            <v>38722</v>
          </cell>
          <cell r="J3">
            <v>39088</v>
          </cell>
          <cell r="K3">
            <v>39454</v>
          </cell>
          <cell r="L3">
            <v>39820</v>
          </cell>
          <cell r="M3">
            <v>40186</v>
          </cell>
        </row>
        <row r="4">
          <cell r="A4" t="str">
            <v>Дом в Озерках</v>
          </cell>
          <cell r="B4">
            <v>25496</v>
          </cell>
          <cell r="C4">
            <v>0.35239397381387288</v>
          </cell>
        </row>
        <row r="5">
          <cell r="A5" t="str">
            <v>Ввод площадей, кв.м</v>
          </cell>
          <cell r="B5">
            <v>25496</v>
          </cell>
          <cell r="D5">
            <v>14532.72</v>
          </cell>
          <cell r="E5">
            <v>10963.28</v>
          </cell>
          <cell r="F5">
            <v>0</v>
          </cell>
          <cell r="G5">
            <v>0</v>
          </cell>
        </row>
        <row r="6">
          <cell r="A6" t="str">
            <v>Затраты по проекту</v>
          </cell>
          <cell r="B6">
            <v>6756.4400000000005</v>
          </cell>
          <cell r="D6">
            <v>3851.1707999999999</v>
          </cell>
          <cell r="E6">
            <v>2905.2692000000002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Выручка от продаж</v>
          </cell>
          <cell r="B7">
            <v>10198.400000000001</v>
          </cell>
          <cell r="D7">
            <v>3263.4880000000003</v>
          </cell>
          <cell r="E7">
            <v>4079.3600000000006</v>
          </cell>
          <cell r="F7">
            <v>1937.6959999999999</v>
          </cell>
          <cell r="G7">
            <v>917.85599999999999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Налогообл.база</v>
          </cell>
          <cell r="B8">
            <v>1127.5606000000002</v>
          </cell>
          <cell r="C8">
            <v>9.7837265345592409E-2</v>
          </cell>
          <cell r="D8">
            <v>-685.520065345592</v>
          </cell>
          <cell r="E8">
            <v>400.51719584337525</v>
          </cell>
          <cell r="F8">
            <v>1859.426187723526</v>
          </cell>
          <cell r="G8">
            <v>849.36991425808526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Сумма налогов</v>
          </cell>
          <cell r="B9">
            <v>1061.0312595649973</v>
          </cell>
          <cell r="D9">
            <v>250.32610199999999</v>
          </cell>
          <cell r="E9">
            <v>268.94593716867507</v>
          </cell>
          <cell r="F9">
            <v>371.88523754470521</v>
          </cell>
          <cell r="G9">
            <v>169.87398285161706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Прибыль</v>
          </cell>
          <cell r="B10">
            <v>2380.9287404350034</v>
          </cell>
          <cell r="D10">
            <v>-838.00890199999958</v>
          </cell>
          <cell r="E10">
            <v>905.14486283132533</v>
          </cell>
          <cell r="F10">
            <v>1565.8107624552947</v>
          </cell>
          <cell r="G10">
            <v>747.98201714838297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Ланской квартал</v>
          </cell>
          <cell r="B11">
            <v>81100</v>
          </cell>
          <cell r="C11">
            <v>0.35413164510844086</v>
          </cell>
        </row>
        <row r="12">
          <cell r="A12" t="str">
            <v>Ввод площадей, кв.м</v>
          </cell>
          <cell r="B12">
            <v>81100</v>
          </cell>
          <cell r="D12">
            <v>16220</v>
          </cell>
          <cell r="E12">
            <v>40550</v>
          </cell>
          <cell r="F12">
            <v>24330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Затраты по проекту</v>
          </cell>
          <cell r="B13">
            <v>21491.5</v>
          </cell>
          <cell r="D13">
            <v>4298.3</v>
          </cell>
          <cell r="E13">
            <v>10745.75</v>
          </cell>
          <cell r="F13">
            <v>6447.4500000000007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Выручка от продаж</v>
          </cell>
          <cell r="B14">
            <v>32440.000000000004</v>
          </cell>
          <cell r="D14">
            <v>0</v>
          </cell>
          <cell r="E14">
            <v>10380.800000000001</v>
          </cell>
          <cell r="F14">
            <v>12651.6</v>
          </cell>
          <cell r="G14">
            <v>4541.6000000000013</v>
          </cell>
          <cell r="H14">
            <v>4866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Налогообл.база</v>
          </cell>
          <cell r="C15">
            <v>0.31120968856006997</v>
          </cell>
          <cell r="D15">
            <v>-4609.5096885600706</v>
          </cell>
          <cell r="E15">
            <v>-5254.5484082641324</v>
          </cell>
          <cell r="F15">
            <v>700.63384088781095</v>
          </cell>
          <cell r="G15">
            <v>4323.7532180079525</v>
          </cell>
          <cell r="H15">
            <v>4679.2741868639578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Сумма налогов</v>
          </cell>
          <cell r="B16">
            <v>3337.6797491519446</v>
          </cell>
          <cell r="D16">
            <v>279.3895</v>
          </cell>
          <cell r="E16">
            <v>698.47375</v>
          </cell>
          <cell r="F16">
            <v>559.21101817756221</v>
          </cell>
          <cell r="G16">
            <v>864.75064360159058</v>
          </cell>
          <cell r="H16">
            <v>935.85483737279162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Прибыль</v>
          </cell>
          <cell r="B17">
            <v>7610.8202508480572</v>
          </cell>
          <cell r="D17">
            <v>-4577.6895000000004</v>
          </cell>
          <cell r="E17">
            <v>-1063.423749999999</v>
          </cell>
          <cell r="F17">
            <v>5644.9389818224372</v>
          </cell>
          <cell r="G17">
            <v>3676.8493563984107</v>
          </cell>
          <cell r="H17">
            <v>3930.1451626272083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Поклонная гора</v>
          </cell>
          <cell r="B18">
            <v>70000</v>
          </cell>
          <cell r="C18">
            <v>0.35210436193144484</v>
          </cell>
        </row>
        <row r="19">
          <cell r="A19" t="str">
            <v>Ввод площадей, кв.м</v>
          </cell>
          <cell r="B19">
            <v>70000</v>
          </cell>
          <cell r="D19">
            <v>0</v>
          </cell>
          <cell r="E19">
            <v>0</v>
          </cell>
          <cell r="F19">
            <v>17500</v>
          </cell>
          <cell r="G19">
            <v>24500</v>
          </cell>
          <cell r="H19">
            <v>21000</v>
          </cell>
          <cell r="I19">
            <v>7000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Затраты по проекту</v>
          </cell>
          <cell r="B20">
            <v>18550</v>
          </cell>
          <cell r="D20">
            <v>0</v>
          </cell>
          <cell r="E20">
            <v>0</v>
          </cell>
          <cell r="F20">
            <v>4637.5</v>
          </cell>
          <cell r="G20">
            <v>6492.5</v>
          </cell>
          <cell r="H20">
            <v>5565</v>
          </cell>
          <cell r="I20">
            <v>1855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Выручка от продаж</v>
          </cell>
          <cell r="B21">
            <v>28000</v>
          </cell>
          <cell r="D21">
            <v>0</v>
          </cell>
          <cell r="E21">
            <v>0</v>
          </cell>
          <cell r="G21">
            <v>4200</v>
          </cell>
          <cell r="H21">
            <v>9800</v>
          </cell>
          <cell r="I21">
            <v>7000</v>
          </cell>
          <cell r="J21">
            <v>5040</v>
          </cell>
          <cell r="K21">
            <v>1960.0000000000002</v>
          </cell>
          <cell r="L21">
            <v>0</v>
          </cell>
          <cell r="M21">
            <v>0</v>
          </cell>
        </row>
        <row r="22">
          <cell r="A22" t="str">
            <v>Налогообл.база</v>
          </cell>
          <cell r="C22">
            <v>0.26861502095197165</v>
          </cell>
          <cell r="D22">
            <v>0</v>
          </cell>
          <cell r="E22">
            <v>0</v>
          </cell>
          <cell r="F22">
            <v>-4852.392016761577</v>
          </cell>
          <cell r="G22">
            <v>-7332.9225314279574</v>
          </cell>
          <cell r="H22">
            <v>-3259.0915439991404</v>
          </cell>
          <cell r="I22">
            <v>1751.6009455248741</v>
          </cell>
          <cell r="J22">
            <v>4932.553991619211</v>
          </cell>
          <cell r="K22">
            <v>1879.4154937144087</v>
          </cell>
          <cell r="L22">
            <v>0</v>
          </cell>
          <cell r="M22">
            <v>0</v>
          </cell>
        </row>
        <row r="23">
          <cell r="A23" t="str">
            <v>Сумма налогов</v>
          </cell>
          <cell r="B23">
            <v>2918.4640861716989</v>
          </cell>
          <cell r="D23">
            <v>0</v>
          </cell>
          <cell r="E23">
            <v>0</v>
          </cell>
          <cell r="F23">
            <v>301.4375</v>
          </cell>
          <cell r="G23">
            <v>422.01249999999999</v>
          </cell>
          <cell r="H23">
            <v>361.72500000000002</v>
          </cell>
          <cell r="I23">
            <v>470.8951891049748</v>
          </cell>
          <cell r="J23">
            <v>986.51079832384221</v>
          </cell>
          <cell r="K23">
            <v>375.88309874288177</v>
          </cell>
          <cell r="L23">
            <v>0</v>
          </cell>
          <cell r="M23">
            <v>0</v>
          </cell>
        </row>
        <row r="24">
          <cell r="A24" t="str">
            <v>Прибыль</v>
          </cell>
          <cell r="B24">
            <v>6531.535913828302</v>
          </cell>
          <cell r="D24">
            <v>0</v>
          </cell>
          <cell r="E24">
            <v>0</v>
          </cell>
          <cell r="F24">
            <v>-4938.9375</v>
          </cell>
          <cell r="G24">
            <v>-2714.5124999999998</v>
          </cell>
          <cell r="H24">
            <v>3873.2750000000001</v>
          </cell>
          <cell r="I24">
            <v>4674.1048108950254</v>
          </cell>
          <cell r="J24">
            <v>4053.4892016761578</v>
          </cell>
          <cell r="K24">
            <v>1584.1169012571186</v>
          </cell>
          <cell r="L24">
            <v>0</v>
          </cell>
          <cell r="M24">
            <v>0</v>
          </cell>
        </row>
        <row r="25">
          <cell r="A25" t="str">
            <v>Лахта</v>
          </cell>
          <cell r="B25">
            <v>84000</v>
          </cell>
          <cell r="C25">
            <v>0.34862901934230878</v>
          </cell>
        </row>
        <row r="26">
          <cell r="A26" t="str">
            <v>Ввод площадей, кв.м</v>
          </cell>
          <cell r="B26">
            <v>84000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21000</v>
          </cell>
          <cell r="I26">
            <v>29399.999999999996</v>
          </cell>
          <cell r="J26">
            <v>25200</v>
          </cell>
          <cell r="K26">
            <v>8400</v>
          </cell>
          <cell r="L26">
            <v>0</v>
          </cell>
          <cell r="M26">
            <v>0</v>
          </cell>
        </row>
        <row r="27">
          <cell r="A27" t="str">
            <v>Затраты по проекту</v>
          </cell>
          <cell r="B27">
            <v>22260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5565</v>
          </cell>
          <cell r="I27">
            <v>7790.9999999999991</v>
          </cell>
          <cell r="J27">
            <v>6678</v>
          </cell>
          <cell r="K27">
            <v>2226</v>
          </cell>
          <cell r="L27">
            <v>0</v>
          </cell>
          <cell r="M27">
            <v>0</v>
          </cell>
        </row>
        <row r="28">
          <cell r="A28" t="str">
            <v>Выручка от продаж</v>
          </cell>
          <cell r="B28">
            <v>33600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5712</v>
          </cell>
          <cell r="J28">
            <v>8400</v>
          </cell>
          <cell r="K28">
            <v>11088</v>
          </cell>
          <cell r="L28">
            <v>5376</v>
          </cell>
          <cell r="M28">
            <v>3024</v>
          </cell>
        </row>
        <row r="29">
          <cell r="A29" t="str">
            <v>Налогообл.база</v>
          </cell>
          <cell r="B29">
            <v>-7791</v>
          </cell>
          <cell r="C29">
            <v>0.32233802514236598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-5758.4028150854192</v>
          </cell>
          <cell r="I29">
            <v>-7998.5718276566013</v>
          </cell>
          <cell r="J29">
            <v>-6405.5070377135471</v>
          </cell>
          <cell r="K29">
            <v>2359.7915547437424</v>
          </cell>
          <cell r="L29">
            <v>5311.5323949715266</v>
          </cell>
          <cell r="M29">
            <v>2991.7661974857633</v>
          </cell>
        </row>
        <row r="30">
          <cell r="A30" t="str">
            <v>Сумма налогов</v>
          </cell>
          <cell r="B30">
            <v>3579.5180294402062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361.72500000000002</v>
          </cell>
          <cell r="I30">
            <v>506.41499999999996</v>
          </cell>
          <cell r="J30">
            <v>434.07</v>
          </cell>
          <cell r="K30">
            <v>616.64831094874853</v>
          </cell>
          <cell r="L30">
            <v>1062.3064789943053</v>
          </cell>
          <cell r="M30">
            <v>598.35323949715269</v>
          </cell>
        </row>
        <row r="31">
          <cell r="A31" t="str">
            <v>Прибыль</v>
          </cell>
          <cell r="B31">
            <v>7760.4819705597938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-5926.7250000000004</v>
          </cell>
          <cell r="I31">
            <v>-2585.4149999999991</v>
          </cell>
          <cell r="J31">
            <v>1287.93</v>
          </cell>
          <cell r="K31">
            <v>8245.351689051251</v>
          </cell>
          <cell r="L31">
            <v>4313.6935210056945</v>
          </cell>
          <cell r="M31">
            <v>2425.6467605028474</v>
          </cell>
        </row>
        <row r="32">
          <cell r="A32" t="str">
            <v>Всего по программе</v>
          </cell>
          <cell r="B32">
            <v>-1558.2</v>
          </cell>
          <cell r="C32">
            <v>0.35164337186529393</v>
          </cell>
        </row>
        <row r="33">
          <cell r="A33" t="str">
            <v>Ввод площадей, кв.м</v>
          </cell>
          <cell r="B33">
            <v>260596</v>
          </cell>
          <cell r="D33">
            <v>30752.720000000001</v>
          </cell>
          <cell r="E33">
            <v>51513.279999999999</v>
          </cell>
          <cell r="F33">
            <v>41830</v>
          </cell>
          <cell r="G33">
            <v>24500</v>
          </cell>
          <cell r="H33">
            <v>42000</v>
          </cell>
          <cell r="I33">
            <v>36400</v>
          </cell>
          <cell r="J33">
            <v>25200</v>
          </cell>
          <cell r="K33">
            <v>8400</v>
          </cell>
          <cell r="L33">
            <v>0</v>
          </cell>
          <cell r="M33">
            <v>0</v>
          </cell>
        </row>
        <row r="34">
          <cell r="A34" t="str">
            <v>Затраты по программе</v>
          </cell>
          <cell r="B34">
            <v>69057.94</v>
          </cell>
          <cell r="D34">
            <v>8149.4708000000001</v>
          </cell>
          <cell r="E34">
            <v>13651.019200000001</v>
          </cell>
          <cell r="F34">
            <v>11084.95</v>
          </cell>
          <cell r="G34">
            <v>6492.5</v>
          </cell>
          <cell r="H34">
            <v>11130</v>
          </cell>
          <cell r="I34">
            <v>9646</v>
          </cell>
          <cell r="J34">
            <v>6678</v>
          </cell>
          <cell r="K34">
            <v>2226</v>
          </cell>
          <cell r="L34">
            <v>0</v>
          </cell>
          <cell r="M34">
            <v>0</v>
          </cell>
        </row>
        <row r="35">
          <cell r="A35" t="str">
            <v>Выручка от продаж</v>
          </cell>
          <cell r="B35">
            <v>104238.40000000001</v>
          </cell>
          <cell r="D35">
            <v>3263.4880000000003</v>
          </cell>
          <cell r="E35">
            <v>14460.160000000002</v>
          </cell>
          <cell r="F35">
            <v>14589.296</v>
          </cell>
          <cell r="G35">
            <v>9659.4560000000019</v>
          </cell>
          <cell r="H35">
            <v>14666</v>
          </cell>
          <cell r="I35">
            <v>12712</v>
          </cell>
          <cell r="J35">
            <v>13440</v>
          </cell>
          <cell r="K35">
            <v>13048</v>
          </cell>
          <cell r="L35">
            <v>5376</v>
          </cell>
          <cell r="M35">
            <v>3024</v>
          </cell>
        </row>
        <row r="36">
          <cell r="D36">
            <v>-5295.0297539056628</v>
          </cell>
          <cell r="E36">
            <v>-4854.0312124207576</v>
          </cell>
          <cell r="F36">
            <v>-2292.3319881502402</v>
          </cell>
          <cell r="G36">
            <v>-2159.7993991619196</v>
          </cell>
          <cell r="H36">
            <v>-4338.2201722206019</v>
          </cell>
          <cell r="I36">
            <v>-6246.9708821317272</v>
          </cell>
          <cell r="J36">
            <v>-1472.9530460943361</v>
          </cell>
          <cell r="K36">
            <v>4239.2070484581509</v>
          </cell>
          <cell r="L36">
            <v>5311.5323949715266</v>
          </cell>
          <cell r="M36">
            <v>2991.7661974857633</v>
          </cell>
        </row>
        <row r="37">
          <cell r="A37" t="str">
            <v>Налоги</v>
          </cell>
          <cell r="B37">
            <v>10896.693124328847</v>
          </cell>
          <cell r="D37">
            <v>529.71560199999999</v>
          </cell>
          <cell r="E37">
            <v>967.41968716867507</v>
          </cell>
          <cell r="F37">
            <v>1232.5337557222674</v>
          </cell>
          <cell r="G37">
            <v>1456.6371264532077</v>
          </cell>
          <cell r="H37">
            <v>1659.3048373727916</v>
          </cell>
          <cell r="I37">
            <v>977.31018910497482</v>
          </cell>
          <cell r="J37">
            <v>1420.5807983238421</v>
          </cell>
          <cell r="K37">
            <v>992.5314096916303</v>
          </cell>
          <cell r="L37">
            <v>1062.3064789943053</v>
          </cell>
          <cell r="M37">
            <v>598.35323949715269</v>
          </cell>
        </row>
        <row r="38">
          <cell r="A38" t="str">
            <v>Прибыль</v>
          </cell>
          <cell r="B38">
            <v>24283.766875671157</v>
          </cell>
          <cell r="D38">
            <v>-5415.698402</v>
          </cell>
          <cell r="E38">
            <v>-158.27888716867403</v>
          </cell>
          <cell r="F38">
            <v>2271.8122442777321</v>
          </cell>
          <cell r="G38">
            <v>1710.3188735467943</v>
          </cell>
          <cell r="H38">
            <v>1876.6951626272084</v>
          </cell>
          <cell r="I38">
            <v>2088.6898108950254</v>
          </cell>
          <cell r="J38">
            <v>5341.4192016761581</v>
          </cell>
          <cell r="K38">
            <v>9829.46859030837</v>
          </cell>
          <cell r="L38">
            <v>4313.6935210056945</v>
          </cell>
          <cell r="M38">
            <v>2425.6467605028474</v>
          </cell>
        </row>
        <row r="39">
          <cell r="A39" t="str">
            <v>Налоги</v>
          </cell>
        </row>
        <row r="40">
          <cell r="A40" t="str">
            <v>Ставка налога</v>
          </cell>
          <cell r="B40">
            <v>0.2</v>
          </cell>
          <cell r="C40">
            <v>0.16666666666666663</v>
          </cell>
        </row>
        <row r="41">
          <cell r="A41" t="str">
            <v xml:space="preserve">НДС 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</row>
        <row r="42">
          <cell r="A42" t="str">
            <v>на пользователей автодорог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Налогообл. Прибыль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</row>
        <row r="44">
          <cell r="A44" t="str">
            <v>на прибыль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</row>
        <row r="45">
          <cell r="A45" t="str">
            <v>Всего налогов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A47" t="str">
            <v>Получение кредита</v>
          </cell>
          <cell r="B47">
            <v>10000</v>
          </cell>
          <cell r="D47">
            <v>10000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Погашение кредита</v>
          </cell>
          <cell r="B48">
            <v>10000</v>
          </cell>
          <cell r="D48">
            <v>1000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1000</v>
          </cell>
          <cell r="L48">
            <v>1000</v>
          </cell>
          <cell r="M48">
            <v>1000</v>
          </cell>
        </row>
        <row r="49">
          <cell r="A49" t="str">
            <v>Баланс по кредиту</v>
          </cell>
          <cell r="B49">
            <v>0</v>
          </cell>
          <cell r="D49">
            <v>10000</v>
          </cell>
          <cell r="E49">
            <v>9000</v>
          </cell>
          <cell r="F49">
            <v>8000</v>
          </cell>
          <cell r="G49">
            <v>7000</v>
          </cell>
          <cell r="H49">
            <v>6000</v>
          </cell>
          <cell r="I49">
            <v>5000</v>
          </cell>
          <cell r="J49">
            <v>4000</v>
          </cell>
          <cell r="K49">
            <v>3000</v>
          </cell>
          <cell r="L49">
            <v>2000</v>
          </cell>
          <cell r="M49">
            <v>1000</v>
          </cell>
        </row>
        <row r="50">
          <cell r="A50" t="str">
            <v>Проценты по кредиту (10% годов.)</v>
          </cell>
          <cell r="B50">
            <v>5500</v>
          </cell>
          <cell r="D50">
            <v>1000</v>
          </cell>
          <cell r="E50">
            <v>900</v>
          </cell>
          <cell r="F50">
            <v>800</v>
          </cell>
          <cell r="G50">
            <v>700</v>
          </cell>
          <cell r="H50">
            <v>600</v>
          </cell>
          <cell r="I50">
            <v>500</v>
          </cell>
          <cell r="J50">
            <v>400</v>
          </cell>
          <cell r="K50">
            <v>300</v>
          </cell>
          <cell r="L50">
            <v>200</v>
          </cell>
          <cell r="M50">
            <v>100</v>
          </cell>
        </row>
        <row r="51">
          <cell r="A51" t="str">
            <v>Ставка кредитования</v>
          </cell>
          <cell r="B51">
            <v>0.1</v>
          </cell>
        </row>
        <row r="53">
          <cell r="A53" t="str">
            <v>Денежный поток</v>
          </cell>
          <cell r="B53">
            <v>18783.766875671157</v>
          </cell>
          <cell r="D53">
            <v>-6415.698402</v>
          </cell>
          <cell r="E53">
            <v>-1058.2788871686739</v>
          </cell>
          <cell r="F53">
            <v>1471.8122442777321</v>
          </cell>
          <cell r="G53">
            <v>1010.3188735467943</v>
          </cell>
          <cell r="H53">
            <v>1276.6951626272084</v>
          </cell>
          <cell r="I53">
            <v>1588.6898108950254</v>
          </cell>
          <cell r="J53">
            <v>4941.4192016761581</v>
          </cell>
          <cell r="K53">
            <v>9529.46859030837</v>
          </cell>
          <cell r="L53">
            <v>4113.6935210056945</v>
          </cell>
          <cell r="M53">
            <v>2325.6467605028474</v>
          </cell>
        </row>
        <row r="54">
          <cell r="A54" t="str">
            <v>То же, нарастающим итогом</v>
          </cell>
          <cell r="D54">
            <v>-6415.698402</v>
          </cell>
          <cell r="E54">
            <v>-7473.9772891686735</v>
          </cell>
          <cell r="F54">
            <v>-6002.1650448909413</v>
          </cell>
          <cell r="G54">
            <v>-4991.8461713441466</v>
          </cell>
          <cell r="H54">
            <v>-3715.1510087169381</v>
          </cell>
          <cell r="I54">
            <v>-2126.4611978219127</v>
          </cell>
          <cell r="J54">
            <v>2814.9580038542454</v>
          </cell>
          <cell r="K54">
            <v>12344.426594162614</v>
          </cell>
          <cell r="L54">
            <v>16458.120115168309</v>
          </cell>
          <cell r="M54">
            <v>18783.766875671157</v>
          </cell>
        </row>
        <row r="56">
          <cell r="A56" t="str">
            <v>Вложение собственных средств</v>
          </cell>
          <cell r="B56">
            <v>0</v>
          </cell>
          <cell r="M56">
            <v>0</v>
          </cell>
        </row>
        <row r="57">
          <cell r="A57" t="str">
            <v>Изъятие собственных средств</v>
          </cell>
          <cell r="B57">
            <v>0</v>
          </cell>
          <cell r="M57">
            <v>0</v>
          </cell>
        </row>
        <row r="59">
          <cell r="A59" t="str">
            <v>Денежный баланс проекта</v>
          </cell>
          <cell r="B59">
            <v>18783.766875671157</v>
          </cell>
          <cell r="D59">
            <v>2584.301598</v>
          </cell>
          <cell r="E59">
            <v>-2058.2788871686739</v>
          </cell>
          <cell r="F59">
            <v>471.81224427773213</v>
          </cell>
          <cell r="G59">
            <v>10.318873546794293</v>
          </cell>
          <cell r="H59">
            <v>276.69516262720845</v>
          </cell>
          <cell r="I59">
            <v>588.6898108950254</v>
          </cell>
          <cell r="J59">
            <v>3941.4192016761581</v>
          </cell>
          <cell r="K59">
            <v>8529.46859030837</v>
          </cell>
          <cell r="L59">
            <v>3113.6935210056945</v>
          </cell>
          <cell r="M59">
            <v>1325.6467605028474</v>
          </cell>
        </row>
        <row r="60">
          <cell r="A60" t="str">
            <v>То же, нарастающим итогом</v>
          </cell>
          <cell r="D60">
            <v>2584.301598</v>
          </cell>
          <cell r="E60">
            <v>526.02271083132609</v>
          </cell>
          <cell r="F60">
            <v>997.83495510905823</v>
          </cell>
          <cell r="G60">
            <v>1008.1538286558525</v>
          </cell>
          <cell r="H60">
            <v>1284.848991283061</v>
          </cell>
          <cell r="I60">
            <v>1873.5388021780864</v>
          </cell>
          <cell r="J60">
            <v>5814.9580038542445</v>
          </cell>
          <cell r="K60">
            <v>14344.426594162614</v>
          </cell>
          <cell r="L60">
            <v>17458.120115168309</v>
          </cell>
          <cell r="M60">
            <v>18783.766875671157</v>
          </cell>
        </row>
        <row r="61">
          <cell r="A61" t="str">
            <v>Показатели эффективности инвестиций</v>
          </cell>
          <cell r="D61">
            <v>1</v>
          </cell>
          <cell r="E61">
            <v>2</v>
          </cell>
          <cell r="F61">
            <v>3</v>
          </cell>
          <cell r="G61">
            <v>4</v>
          </cell>
          <cell r="H61">
            <v>5</v>
          </cell>
          <cell r="I61">
            <v>6</v>
          </cell>
          <cell r="J61">
            <v>7</v>
          </cell>
          <cell r="K61">
            <v>8</v>
          </cell>
          <cell r="L61">
            <v>9</v>
          </cell>
          <cell r="M61">
            <v>10</v>
          </cell>
        </row>
        <row r="62">
          <cell r="A62" t="str">
            <v>Норма дисконта</v>
          </cell>
          <cell r="B62">
            <v>0.15</v>
          </cell>
        </row>
        <row r="63">
          <cell r="A63" t="str">
            <v>Чистый  дисконтированный доход    (NPV)</v>
          </cell>
          <cell r="B63">
            <v>3660.9659816627086</v>
          </cell>
        </row>
        <row r="64">
          <cell r="A64" t="str">
            <v>Внутренняя норма доходности   (IRR)</v>
          </cell>
          <cell r="B64">
            <v>0.23447106219828129</v>
          </cell>
        </row>
        <row r="65">
          <cell r="A65" t="str">
            <v>Срок окупаемости, лет</v>
          </cell>
          <cell r="B65">
            <v>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ing data"/>
      <sheetName val="Print Calc"/>
    </sheetNames>
    <sheetDataSet>
      <sheetData sheetId="0" refreshError="1"/>
      <sheetData sheetId="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ряд"/>
    </sheetNames>
    <sheetDataSet>
      <sheetData sheetId="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Assu."/>
      <sheetName val="CF"/>
      <sheetName val="Hotel"/>
      <sheetName val="Costs"/>
    </sheetNames>
    <sheetDataSet>
      <sheetData sheetId="0"/>
      <sheetData sheetId="1" refreshError="1"/>
      <sheetData sheetId="2"/>
      <sheetData sheetId="3">
        <row r="9">
          <cell r="D9">
            <v>30</v>
          </cell>
        </row>
      </sheetData>
      <sheetData sheetId="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Summary"/>
      <sheetName val="Упрощенный расчет"/>
      <sheetName val="DCF full"/>
      <sheetName val="DCF-short"/>
      <sheetName val="Предпосылки"/>
      <sheetName val="Концепция"/>
      <sheetName val="Площади"/>
      <sheetName val="Сети"/>
      <sheetName val="График реализации"/>
      <sheetName val="Платежи за землю"/>
      <sheetName val="Инвестиционные затраты"/>
      <sheetName val="Финансирование"/>
      <sheetName val="Доходы от реализации"/>
      <sheetName val="План-график жилая"/>
      <sheetName val="План-график коммерческая недвиж"/>
      <sheetName val="Отель"/>
      <sheetName val="Налоги"/>
      <sheetName val="Земля"/>
      <sheetName val="Предварительные результаты"/>
      <sheetName val="CashFlow"/>
      <sheetName val="Итоговые результаты"/>
      <sheetName val="Инвест-контракты"/>
      <sheetName val="Анализ чувствительности"/>
      <sheetName val="Сценарии"/>
    </sheetNames>
    <sheetDataSet>
      <sheetData sheetId="0"/>
      <sheetData sheetId="1"/>
      <sheetData sheetId="2"/>
      <sheetData sheetId="3">
        <row r="269">
          <cell r="G269">
            <v>2018</v>
          </cell>
        </row>
      </sheetData>
      <sheetData sheetId="4"/>
      <sheetData sheetId="5">
        <row r="85">
          <cell r="B85" t="str">
            <v>Жилье комфорт</v>
          </cell>
        </row>
        <row r="86">
          <cell r="B86" t="str">
            <v>Жилье бизнес</v>
          </cell>
        </row>
        <row r="87">
          <cell r="B87" t="str">
            <v>Таунхаузы</v>
          </cell>
        </row>
        <row r="123">
          <cell r="E123">
            <v>0.18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definedNames>
      <definedName name="ReturnMain"/>
    </definedNames>
    <sheetDataSet>
      <sheetData sheetId="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Sheet3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Класс"/>
      <sheetName val="кор на местоп"/>
      <sheetName val="Выручка"/>
      <sheetName val="Journals"/>
      <sheetName val="К5"/>
      <sheetName val="Предположения КАС"/>
      <sheetName val="Общ свед"/>
      <sheetName val="Const"/>
      <sheetName val="вспом"/>
      <sheetName val="Местоположение"/>
      <sheetName val="К_трафик"/>
      <sheetName val="К_удаленность_метро"/>
      <sheetName val="МБП"/>
      <sheetName val="Проводки"/>
      <sheetName val="XLR_NoRangeSheet"/>
      <sheetName val="PPE"/>
      <sheetName val="Комментарии к запросу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DIN"/>
      <sheetName val="Спецодежда СИЗ"/>
      <sheetName val="Перечень Спецодежды, СИЗ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DIR"/>
      <sheetName val="Перечень договоров"/>
      <sheetName val="Список"/>
      <sheetName val="Исх ЗУ"/>
      <sheetName val="Статьи расхода"/>
      <sheetName val="ЦФО"/>
      <sheetName val="ИСХ_ИНФ"/>
      <sheetName val="Бюджет2015"/>
      <sheetName val="остатки ОН на 01 12 2015"/>
      <sheetName val="К3 Инфл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Лист5"/>
      <sheetName val="Проект"/>
      <sheetName val="дисконт стр-во"/>
      <sheetName val="УПСС"/>
      <sheetName val="Структура парка_2016"/>
      <sheetName val="Предположения_КАС"/>
      <sheetName val="1.1"/>
      <sheetName val="Справочники ОПУ"/>
      <sheetName val="ФМ_Приморский _2 очередь"/>
      <sheetName val="ФМ_Приморский _3 оч(1к)"/>
      <sheetName val="vec"/>
      <sheetName val="dirrectories"/>
      <sheetName val="кор_на_местоп"/>
      <sheetName val="Общ_свед"/>
      <sheetName val="Roll"/>
      <sheetName val="Natl_Consult_Reg_2"/>
      <sheetName val="Natl_Consult_Reg_3"/>
      <sheetName val="NASE_Oil-Revenue1"/>
      <sheetName val="business_plan1"/>
      <sheetName val="кор_на_местоп1"/>
      <sheetName val="Предположения_КАС1"/>
      <sheetName val="Общ_свед1"/>
      <sheetName val="Natl_Consult_Reg_4"/>
      <sheetName val="Natl_Consult_Reg_5"/>
      <sheetName val="NASE_Oil-Revenue2"/>
      <sheetName val="business_plan2"/>
      <sheetName val="кор_на_местоп2"/>
      <sheetName val="Предположения_КАС2"/>
      <sheetName val="Общ_свед2"/>
      <sheetName val="Natl_Consult_Reg_6"/>
      <sheetName val="Natl_Consult_Reg_7"/>
      <sheetName val="NASE_Oil-Revenue3"/>
      <sheetName val="business_plan3"/>
      <sheetName val="кор_на_местоп3"/>
      <sheetName val="Предположения_КАС3"/>
      <sheetName val="Общ_свед3"/>
      <sheetName val="Natl_Consult_Reg_8"/>
      <sheetName val="Natl_Consult_Reg_9"/>
      <sheetName val="NASE_Oil-Revenue4"/>
      <sheetName val="business_plan4"/>
      <sheetName val="кор_на_местоп4"/>
      <sheetName val="Предположения_КАС4"/>
      <sheetName val="Общ_свед4"/>
      <sheetName val="Статьи ДДС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  <sheetName val="Кедровский"/>
      <sheetName val="ИТОГ"/>
      <sheetName val="ГРП"/>
      <sheetName val="Inputs"/>
      <sheetName val="Model"/>
      <sheetName val="РС_ОФИС"/>
      <sheetName val="РС_АПАРТЫ"/>
      <sheetName val="РС_М-М"/>
      <sheetName val="РС_ПСН"/>
      <sheetName val="Checks"/>
      <sheetName val="БДДС"/>
      <sheetName val="ТЭП"/>
      <sheetName val="ТУ"/>
      <sheetName val="Кредит_JT"/>
      <sheetName val="СМР_калк"/>
      <sheetName val="темпы"/>
      <sheetName val="Продажи-СМР"/>
      <sheetName val="УПКСЗУ_2016"/>
      <sheetName val="Базовая ОРС_офис"/>
      <sheetName val="682200"/>
      <sheetName val="Округа"/>
      <sheetName val="СПофис"/>
      <sheetName val="Лист2"/>
      <sheetName val="Данные"/>
      <sheetName val="Справочники"/>
      <sheetName val="Fixed_ADRs"/>
      <sheetName val="Euro_Fixed"/>
      <sheetName val="К_трафик1"/>
      <sheetName val="ИСХ_ИНФ1"/>
      <sheetName val="Статьи_расхода"/>
      <sheetName val="Исх_ЗУ"/>
      <sheetName val="Оп__Дом"/>
      <sheetName val="Оп__Кварт"/>
      <sheetName val="Аналог_1"/>
      <sheetName val="Аналог_2"/>
      <sheetName val="Аналог_3"/>
      <sheetName val="Аналог_4"/>
      <sheetName val="Свод_аналоги"/>
      <sheetName val="дисконт_стр-во"/>
      <sheetName val="К3_Инфл"/>
      <sheetName val="Комментарии_к_запросу"/>
      <sheetName val="Перечень_договоров"/>
      <sheetName val="4_db1"/>
      <sheetName val="Спецодежда_СИЗ"/>
      <sheetName val="Перечень_Спецодежды,_СИЗ"/>
      <sheetName val="остатки_ОН_на_01_12_2015"/>
      <sheetName val="Структура_парка_2016"/>
      <sheetName val="1_1"/>
      <sheetName val="Справочники_ОПУ"/>
      <sheetName val="ФМ_Приморский__2_очередь"/>
      <sheetName val="ФМ_Приморский__3_оч(1к)"/>
      <sheetName val="Статьи_ЦФО"/>
      <sheetName val="Приложение_2_16_1"/>
      <sheetName val="1_1_План_счетов"/>
      <sheetName val="Статьи_ДДС"/>
      <sheetName val="Laminat(OEM)ship_(Price)"/>
      <sheetName val="Базовая_ОРС_офис"/>
      <sheetName val="описание"/>
      <sheetName val="Корректировки"/>
      <sheetName val="Вводные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тип данных"/>
      <sheetName val="организации"/>
      <sheetName val="Справочник "/>
      <sheetName val="1.1 Inputs"/>
      <sheetName val="Списки"/>
      <sheetName val="сервис"/>
      <sheetName val="МД1"/>
      <sheetName val="Свод_окт 2019"/>
      <sheetName val="по Проектам"/>
      <sheetName val="Заявка_Свод"/>
      <sheetName val="ВС"/>
      <sheetName val="РК"/>
      <sheetName val="Новый справочник статей"/>
      <sheetName val="СА_12.03.20_"/>
      <sheetName val="LIST"/>
      <sheetName val="WACC - Europe (by M. Shinder)"/>
      <sheetName val="3.4 Инвестиции"/>
      <sheetName val="4_db2"/>
      <sheetName val="Статьи_расхода1"/>
      <sheetName val="Fixed_ADRs1"/>
      <sheetName val="Euro_Fixed1"/>
      <sheetName val="Комментарии_к_запросу1"/>
      <sheetName val="К_трафик2"/>
      <sheetName val="ИСХ_ИНФ2"/>
      <sheetName val="остатки_ОН_на_01_12_20151"/>
      <sheetName val="Спецодежда_СИЗ1"/>
      <sheetName val="Перечень_Спецодежды,_СИЗ1"/>
      <sheetName val="Перечень_договоров1"/>
      <sheetName val="Исх_ЗУ1"/>
      <sheetName val="К3_Инфл1"/>
      <sheetName val="Оп__Дом1"/>
      <sheetName val="Оп__Кварт1"/>
      <sheetName val="Аналог_11"/>
      <sheetName val="Аналог_21"/>
      <sheetName val="Аналог_31"/>
      <sheetName val="Аналог_41"/>
      <sheetName val="Свод_аналоги1"/>
      <sheetName val="1_11"/>
      <sheetName val="Справочники_ОПУ1"/>
      <sheetName val="Структура_парка_20161"/>
      <sheetName val="дисконт_стр-во1"/>
      <sheetName val="5"/>
      <sheetName val="Отчетность (Радиоволна)"/>
      <sheetName val="Корр_ТоргОф"/>
      <sheetName val="Корр_ЗУ"/>
      <sheetName val="CAMPAIGN AVERAGE F"/>
      <sheetName val="15+"/>
      <sheetName val="Справочник статей"/>
      <sheetName val="Анализ расх."/>
      <sheetName val="Признак"/>
      <sheetName val="Natl_Consult_Reg_10"/>
      <sheetName val="Natl_Consult_Reg_11"/>
      <sheetName val="NASE_Oil-Revenue5"/>
      <sheetName val="business_plan5"/>
      <sheetName val="кор_на_местоп5"/>
      <sheetName val="Предположения_КАС5"/>
      <sheetName val="Общ_свед5"/>
      <sheetName val="ФМ_Приморский__2_очередь1"/>
      <sheetName val="ФМ_Приморский__3_оч(1к)1"/>
      <sheetName val="Laminat(OEM)ship_(Price)1"/>
      <sheetName val="Статьи_ДДС1"/>
      <sheetName val="Статьи_ЦФО1"/>
      <sheetName val="Приложение_2_16_11"/>
      <sheetName val="1_1_План_счетов1"/>
      <sheetName val="Базовая_ОРС_офис1"/>
      <sheetName val="SUIVI_EFFECTIFS"/>
      <sheetName val="EFFECT_"/>
      <sheetName val="CAB_1998"/>
      <sheetName val="Vendas_Tons"/>
      <sheetName val="C_Estr_"/>
      <sheetName val="тип_данных"/>
      <sheetName val="Справочник_"/>
      <sheetName val="1_1_Inputs"/>
      <sheetName val="C.1.СF_КП_свод"/>
      <sheetName val="summar of bkbuilding"/>
      <sheetName val="allocations"/>
      <sheetName val="charts to pull from"/>
      <sheetName val="1x1"/>
      <sheetName val="Top orders"/>
      <sheetName val="price sensitivity"/>
      <sheetName val="float nums"/>
      <sheetName val="коммуникации"/>
      <sheetName val="место_тип_нас_пункт"/>
      <sheetName val="состояние"/>
      <sheetName val="материал стен"/>
      <sheetName val="Аналоги_продажа"/>
      <sheetName val="5ЛП "/>
      <sheetName val="Справочники для ССП"/>
      <sheetName val="Свод_окт_2019"/>
      <sheetName val="по_Проектам"/>
      <sheetName val="Новый_справочник_статей"/>
      <sheetName val="СА_12_03_20_"/>
      <sheetName val="Кор_местопол"/>
      <sheetName val="MAIN"/>
      <sheetName val="Поправки_СП"/>
      <sheetName val="4_db3"/>
      <sheetName val="Статьи_расхода2"/>
      <sheetName val="Fixed_ADRs2"/>
      <sheetName val="Euro_Fixed2"/>
      <sheetName val="Комментарии_к_запросу2"/>
      <sheetName val="К_трафик3"/>
      <sheetName val="ИСХ_ИНФ3"/>
      <sheetName val="остатки_ОН_на_01_12_20152"/>
      <sheetName val="Спецодежда_СИЗ2"/>
      <sheetName val="Перечень_Спецодежды,_СИЗ2"/>
      <sheetName val="Перечень_договоров2"/>
      <sheetName val="Исх_ЗУ2"/>
      <sheetName val="К3_Инфл2"/>
      <sheetName val="Оп__Дом2"/>
      <sheetName val="Оп__Кварт2"/>
      <sheetName val="Аналог_12"/>
      <sheetName val="Аналог_22"/>
      <sheetName val="Аналог_32"/>
      <sheetName val="Аналог_42"/>
      <sheetName val="Свод_аналоги2"/>
      <sheetName val="1_12"/>
      <sheetName val="Справочники_ОПУ2"/>
      <sheetName val="Структура_парка_20162"/>
      <sheetName val="дисконт_стр-во2"/>
      <sheetName val="3_4_Инвестиции"/>
      <sheetName val="Справочник_статей"/>
      <sheetName val="материал_стен"/>
      <sheetName val="5ЛП_"/>
      <sheetName val="SUM"/>
      <sheetName val="график_1P"/>
      <sheetName val="5.СПРАВОЧНИКИ"/>
      <sheetName val="Подразделения _МВЗ"/>
      <sheetName val="Продажи"/>
      <sheetName val="СПР"/>
      <sheetName val="Booked Exposure"/>
      <sheetName val="Декабрь"/>
      <sheetName val="тыс"/>
      <sheetName val="прогноз янв"/>
      <sheetName val="Лист3"/>
      <sheetName val="Snapshot"/>
      <sheetName val="Prices"/>
      <sheetName val="SpanAdv"/>
      <sheetName val="MediMod"/>
      <sheetName val="Subfed SpB"/>
      <sheetName val="март"/>
      <sheetName val="Справочники_для_ССП"/>
      <sheetName val="Словари"/>
      <sheetName val="Proforma"/>
      <sheetName val="Style Summary"/>
      <sheetName val="Natl_Consult_Reg_14"/>
      <sheetName val="Natl_Consult_Reg_15"/>
      <sheetName val="NASE_Oil-Revenue7"/>
      <sheetName val="business_plan7"/>
      <sheetName val="Предположения_КАС7"/>
      <sheetName val="кор_на_местоп7"/>
      <sheetName val="Общ_свед7"/>
      <sheetName val="ФМ_Приморский__2_очередь2"/>
      <sheetName val="ФМ_Приморский__3_оч(1к)2"/>
      <sheetName val="Статьи_ЦФО2"/>
      <sheetName val="Приложение_2_16_12"/>
      <sheetName val="1_1_План_счетов2"/>
      <sheetName val="Статьи_ДДС2"/>
      <sheetName val="Laminat(OEM)ship_(Price)2"/>
      <sheetName val="SUIVI_EFFECTIFS2"/>
      <sheetName val="EFFECT_2"/>
      <sheetName val="CAB_19982"/>
      <sheetName val="Vendas_Tons2"/>
      <sheetName val="C_Estr_2"/>
      <sheetName val="Базовая_ОРС_офис2"/>
      <sheetName val="тип_данных2"/>
      <sheetName val="Справочник_2"/>
      <sheetName val="1_1_Inputs2"/>
      <sheetName val="Natl_Consult_Reg_12"/>
      <sheetName val="Natl_Consult_Reg_13"/>
      <sheetName val="NASE_Oil-Revenue6"/>
      <sheetName val="business_plan6"/>
      <sheetName val="Предположения_КАС6"/>
      <sheetName val="кор_на_местоп6"/>
      <sheetName val="Общ_свед6"/>
      <sheetName val="SUIVI_EFFECTIFS1"/>
      <sheetName val="EFFECT_1"/>
      <sheetName val="CAB_19981"/>
      <sheetName val="Vendas_Tons1"/>
      <sheetName val="C_Estr_1"/>
      <sheetName val="тип_данных1"/>
      <sheetName val="Справочник_1"/>
      <sheetName val="1_1_Inputs1"/>
      <sheetName val="реестр"/>
      <sheetName val="ЗУ"/>
      <sheetName val="3. РМ_ЗС_Inp2023"/>
      <sheetName val="Base"/>
      <sheetName val="Доходы"/>
      <sheetName val="УЧАСТКИ"/>
      <sheetName val="temp_for_sw"/>
      <sheetName val="costs_list_for_sw"/>
      <sheetName val="rates_for_sw"/>
      <sheetName val="costs_whole_for_sw"/>
      <sheetName val="Общие"/>
      <sheetName val="DB2002"/>
      <sheetName val="РСБУ_МСФО"/>
      <sheetName val="4_db4"/>
      <sheetName val="Статьи_расхода3"/>
      <sheetName val="Fixed_ADRs3"/>
      <sheetName val="Euro_Fixed3"/>
      <sheetName val="Комментарии_к_запросу3"/>
      <sheetName val="К_трафик4"/>
      <sheetName val="ИСХ_ИНФ4"/>
      <sheetName val="остатки_ОН_на_01_12_20153"/>
      <sheetName val="Спецодежда_СИЗ3"/>
      <sheetName val="Перечень_Спецодежды,_СИЗ3"/>
      <sheetName val="Перечень_договоров3"/>
      <sheetName val="Исх_ЗУ3"/>
      <sheetName val="К3_Инфл3"/>
      <sheetName val="Оп__Дом3"/>
      <sheetName val="Оп__Кварт3"/>
      <sheetName val="Аналог_13"/>
      <sheetName val="Аналог_23"/>
      <sheetName val="Аналог_33"/>
      <sheetName val="Аналог_43"/>
      <sheetName val="Свод_аналоги3"/>
      <sheetName val="1_13"/>
      <sheetName val="Справочники_ОПУ3"/>
      <sheetName val="Структура_парка_20163"/>
      <sheetName val="дисконт_стр-во3"/>
      <sheetName val="3_4_Инвестиции1"/>
      <sheetName val="Свод_окт_20191"/>
      <sheetName val="по_Проектам1"/>
      <sheetName val="Новый_справочник_статей1"/>
      <sheetName val="СА_12_03_20_1"/>
      <sheetName val="Справочник_статей1"/>
      <sheetName val="материал_стен1"/>
      <sheetName val="5ЛП_1"/>
      <sheetName val="CAMPAIGN_AVERAGE_F"/>
      <sheetName val="Отчетность_(Радиоволна)"/>
      <sheetName val="5_СПРАВОЧНИКИ"/>
      <sheetName val="Подразделения__МВЗ"/>
      <sheetName val="WACC_-_Europe_(by_M__Shinder)"/>
      <sheetName val="Анализ_расх_"/>
      <sheetName val="C_1_СF_КП_свод"/>
      <sheetName val="summar_of_bkbuilding"/>
      <sheetName val="charts_to_pull_from"/>
      <sheetName val="Top_orders"/>
      <sheetName val="price_sensitivity"/>
      <sheetName val="float_nums"/>
      <sheetName val="Subfed_SpB"/>
      <sheetName val="прогноз_янв"/>
      <sheetName val="Booked_Exposure"/>
      <sheetName val="__Goal_Metadata"/>
      <sheetName val="Входные данные"/>
      <sheetName val="ОО"/>
      <sheetName val="Согласование"/>
      <sheetName val="Исходные данные"/>
      <sheetName val="спр-к"/>
      <sheetName val="lists"/>
      <sheetName val="Demand"/>
      <sheetName val="Plan_acc"/>
      <sheetName val="CST-CAPEX"/>
      <sheetName val="DELINS"/>
      <sheetName val="Costs Savings"/>
      <sheetName val="Natl_Consult_Reg_16"/>
      <sheetName val="Natl_Consult_Reg_17"/>
      <sheetName val="NASE_Oil-Revenue8"/>
      <sheetName val="business_plan8"/>
      <sheetName val="Предположения_КАС8"/>
      <sheetName val="кор_на_местоп8"/>
      <sheetName val="Общ_свед8"/>
      <sheetName val="ФМ_Приморский__2_очередь3"/>
      <sheetName val="ФМ_Приморский__3_оч(1к)3"/>
      <sheetName val="Статьи_ЦФО3"/>
      <sheetName val="Приложение_2_16_13"/>
      <sheetName val="1_1_План_счетов3"/>
      <sheetName val="Статьи_ДДС3"/>
      <sheetName val="Laminat(OEM)ship_(Price)3"/>
      <sheetName val="SUIVI_EFFECTIFS3"/>
      <sheetName val="EFFECT_3"/>
      <sheetName val="CAB_19983"/>
      <sheetName val="Vendas_Tons3"/>
      <sheetName val="C_Estr_3"/>
      <sheetName val="Базовая_ОРС_офис3"/>
      <sheetName val="тип_данных3"/>
      <sheetName val="Справочник_3"/>
      <sheetName val="1_1_Inputs3"/>
      <sheetName val=""/>
      <sheetName val="saisie point de chute travaux"/>
      <sheetName val="DEPRECIATION SCHEDULE"/>
      <sheetName val="LOADDAT"/>
      <sheetName val="General input tot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1">
          <cell r="D61">
            <v>0</v>
          </cell>
        </row>
      </sheetData>
      <sheetData sheetId="42">
        <row r="61">
          <cell r="D61">
            <v>0</v>
          </cell>
        </row>
      </sheetData>
      <sheetData sheetId="43">
        <row r="61">
          <cell r="D61">
            <v>0</v>
          </cell>
        </row>
      </sheetData>
      <sheetData sheetId="44">
        <row r="61">
          <cell r="D61">
            <v>0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61">
          <cell r="D61">
            <v>0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1">
          <cell r="D61">
            <v>0</v>
          </cell>
        </row>
      </sheetData>
      <sheetData sheetId="86">
        <row r="61">
          <cell r="D61">
            <v>0</v>
          </cell>
        </row>
      </sheetData>
      <sheetData sheetId="87">
        <row r="61">
          <cell r="D61">
            <v>0</v>
          </cell>
        </row>
      </sheetData>
      <sheetData sheetId="88">
        <row r="61">
          <cell r="D61">
            <v>0</v>
          </cell>
        </row>
      </sheetData>
      <sheetData sheetId="89">
        <row r="61">
          <cell r="D61">
            <v>0</v>
          </cell>
        </row>
      </sheetData>
      <sheetData sheetId="90">
        <row r="61">
          <cell r="D61">
            <v>0</v>
          </cell>
        </row>
      </sheetData>
      <sheetData sheetId="91">
        <row r="61">
          <cell r="D61">
            <v>0</v>
          </cell>
        </row>
      </sheetData>
      <sheetData sheetId="92">
        <row r="61">
          <cell r="D61">
            <v>0</v>
          </cell>
        </row>
      </sheetData>
      <sheetData sheetId="93">
        <row r="61">
          <cell r="D61">
            <v>0</v>
          </cell>
        </row>
      </sheetData>
      <sheetData sheetId="94">
        <row r="61">
          <cell r="D61">
            <v>0</v>
          </cell>
        </row>
      </sheetData>
      <sheetData sheetId="95">
        <row r="61">
          <cell r="D61">
            <v>0</v>
          </cell>
        </row>
      </sheetData>
      <sheetData sheetId="96">
        <row r="61">
          <cell r="D61">
            <v>0</v>
          </cell>
        </row>
      </sheetData>
      <sheetData sheetId="97">
        <row r="61">
          <cell r="D61">
            <v>0</v>
          </cell>
        </row>
      </sheetData>
      <sheetData sheetId="98">
        <row r="61">
          <cell r="D61">
            <v>0</v>
          </cell>
        </row>
      </sheetData>
      <sheetData sheetId="99">
        <row r="61">
          <cell r="D61">
            <v>0</v>
          </cell>
        </row>
      </sheetData>
      <sheetData sheetId="100">
        <row r="61">
          <cell r="D61">
            <v>0</v>
          </cell>
        </row>
      </sheetData>
      <sheetData sheetId="101">
        <row r="61">
          <cell r="D61">
            <v>0</v>
          </cell>
        </row>
      </sheetData>
      <sheetData sheetId="102">
        <row r="61">
          <cell r="D61">
            <v>0</v>
          </cell>
        </row>
      </sheetData>
      <sheetData sheetId="103">
        <row r="61">
          <cell r="D61">
            <v>0</v>
          </cell>
        </row>
      </sheetData>
      <sheetData sheetId="104">
        <row r="61">
          <cell r="D61">
            <v>0</v>
          </cell>
        </row>
      </sheetData>
      <sheetData sheetId="105">
        <row r="61">
          <cell r="D61">
            <v>0</v>
          </cell>
        </row>
      </sheetData>
      <sheetData sheetId="106">
        <row r="61">
          <cell r="D61">
            <v>0</v>
          </cell>
        </row>
      </sheetData>
      <sheetData sheetId="107">
        <row r="61">
          <cell r="D61">
            <v>0</v>
          </cell>
        </row>
      </sheetData>
      <sheetData sheetId="108">
        <row r="61">
          <cell r="D61">
            <v>0</v>
          </cell>
        </row>
      </sheetData>
      <sheetData sheetId="109">
        <row r="61">
          <cell r="D61">
            <v>0</v>
          </cell>
        </row>
      </sheetData>
      <sheetData sheetId="110">
        <row r="61">
          <cell r="D61">
            <v>0</v>
          </cell>
        </row>
      </sheetData>
      <sheetData sheetId="111">
        <row r="61">
          <cell r="D61">
            <v>0</v>
          </cell>
        </row>
      </sheetData>
      <sheetData sheetId="112">
        <row r="61">
          <cell r="D61">
            <v>0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61">
          <cell r="D61">
            <v>0</v>
          </cell>
        </row>
      </sheetData>
      <sheetData sheetId="125">
        <row r="61">
          <cell r="D61">
            <v>0</v>
          </cell>
        </row>
      </sheetData>
      <sheetData sheetId="126">
        <row r="61">
          <cell r="D61">
            <v>0</v>
          </cell>
        </row>
      </sheetData>
      <sheetData sheetId="127">
        <row r="61">
          <cell r="D61">
            <v>0</v>
          </cell>
        </row>
      </sheetData>
      <sheetData sheetId="128">
        <row r="61">
          <cell r="D61">
            <v>0</v>
          </cell>
        </row>
      </sheetData>
      <sheetData sheetId="129">
        <row r="61">
          <cell r="D61">
            <v>0</v>
          </cell>
        </row>
      </sheetData>
      <sheetData sheetId="130">
        <row r="61">
          <cell r="D61">
            <v>0</v>
          </cell>
        </row>
      </sheetData>
      <sheetData sheetId="131">
        <row r="61">
          <cell r="D61">
            <v>0</v>
          </cell>
        </row>
      </sheetData>
      <sheetData sheetId="132">
        <row r="61">
          <cell r="D61">
            <v>0</v>
          </cell>
        </row>
      </sheetData>
      <sheetData sheetId="133">
        <row r="61">
          <cell r="D61">
            <v>0</v>
          </cell>
        </row>
      </sheetData>
      <sheetData sheetId="134">
        <row r="61">
          <cell r="D61">
            <v>0</v>
          </cell>
        </row>
      </sheetData>
      <sheetData sheetId="135">
        <row r="61">
          <cell r="D61">
            <v>0</v>
          </cell>
        </row>
      </sheetData>
      <sheetData sheetId="136">
        <row r="61">
          <cell r="D61">
            <v>0</v>
          </cell>
        </row>
      </sheetData>
      <sheetData sheetId="137">
        <row r="61">
          <cell r="D61">
            <v>0</v>
          </cell>
        </row>
      </sheetData>
      <sheetData sheetId="138">
        <row r="61">
          <cell r="D61">
            <v>0</v>
          </cell>
        </row>
      </sheetData>
      <sheetData sheetId="139">
        <row r="61">
          <cell r="D61">
            <v>0</v>
          </cell>
        </row>
      </sheetData>
      <sheetData sheetId="140">
        <row r="61">
          <cell r="D61">
            <v>0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61">
          <cell r="D61">
            <v>0</v>
          </cell>
        </row>
      </sheetData>
      <sheetData sheetId="149">
        <row r="61">
          <cell r="D61">
            <v>0</v>
          </cell>
        </row>
      </sheetData>
      <sheetData sheetId="150">
        <row r="61">
          <cell r="D61">
            <v>0</v>
          </cell>
        </row>
      </sheetData>
      <sheetData sheetId="151">
        <row r="61">
          <cell r="D61">
            <v>0</v>
          </cell>
        </row>
      </sheetData>
      <sheetData sheetId="152">
        <row r="61">
          <cell r="D61">
            <v>0</v>
          </cell>
        </row>
      </sheetData>
      <sheetData sheetId="153">
        <row r="61">
          <cell r="D61">
            <v>0</v>
          </cell>
        </row>
      </sheetData>
      <sheetData sheetId="154">
        <row r="61">
          <cell r="D61">
            <v>0</v>
          </cell>
        </row>
      </sheetData>
      <sheetData sheetId="155">
        <row r="61">
          <cell r="D61">
            <v>0</v>
          </cell>
        </row>
      </sheetData>
      <sheetData sheetId="156">
        <row r="61">
          <cell r="D61">
            <v>0</v>
          </cell>
        </row>
      </sheetData>
      <sheetData sheetId="157">
        <row r="61">
          <cell r="D61">
            <v>0</v>
          </cell>
        </row>
      </sheetData>
      <sheetData sheetId="158">
        <row r="61">
          <cell r="D61">
            <v>0</v>
          </cell>
        </row>
      </sheetData>
      <sheetData sheetId="159">
        <row r="61">
          <cell r="D61">
            <v>0</v>
          </cell>
        </row>
      </sheetData>
      <sheetData sheetId="160">
        <row r="61">
          <cell r="D61">
            <v>0</v>
          </cell>
        </row>
      </sheetData>
      <sheetData sheetId="161">
        <row r="61">
          <cell r="D61">
            <v>0</v>
          </cell>
        </row>
      </sheetData>
      <sheetData sheetId="162">
        <row r="61">
          <cell r="D61">
            <v>0</v>
          </cell>
        </row>
      </sheetData>
      <sheetData sheetId="163">
        <row r="61">
          <cell r="D61">
            <v>0</v>
          </cell>
        </row>
      </sheetData>
      <sheetData sheetId="164">
        <row r="61">
          <cell r="D61">
            <v>0</v>
          </cell>
        </row>
      </sheetData>
      <sheetData sheetId="165">
        <row r="61">
          <cell r="D61">
            <v>0</v>
          </cell>
        </row>
      </sheetData>
      <sheetData sheetId="166">
        <row r="61">
          <cell r="D61">
            <v>0</v>
          </cell>
        </row>
      </sheetData>
      <sheetData sheetId="167">
        <row r="61">
          <cell r="D61">
            <v>0</v>
          </cell>
        </row>
      </sheetData>
      <sheetData sheetId="168">
        <row r="61">
          <cell r="D61">
            <v>0</v>
          </cell>
        </row>
      </sheetData>
      <sheetData sheetId="169">
        <row r="61">
          <cell r="D61">
            <v>0</v>
          </cell>
        </row>
      </sheetData>
      <sheetData sheetId="170">
        <row r="61">
          <cell r="D61">
            <v>0</v>
          </cell>
        </row>
      </sheetData>
      <sheetData sheetId="171">
        <row r="61">
          <cell r="D61">
            <v>0</v>
          </cell>
        </row>
      </sheetData>
      <sheetData sheetId="172">
        <row r="61">
          <cell r="D61">
            <v>0</v>
          </cell>
        </row>
      </sheetData>
      <sheetData sheetId="173">
        <row r="61">
          <cell r="D61">
            <v>0</v>
          </cell>
        </row>
      </sheetData>
      <sheetData sheetId="174">
        <row r="61">
          <cell r="D61">
            <v>0</v>
          </cell>
        </row>
      </sheetData>
      <sheetData sheetId="175">
        <row r="61">
          <cell r="D61">
            <v>0</v>
          </cell>
        </row>
      </sheetData>
      <sheetData sheetId="176">
        <row r="61">
          <cell r="D61">
            <v>0</v>
          </cell>
        </row>
      </sheetData>
      <sheetData sheetId="177">
        <row r="61">
          <cell r="D61">
            <v>0</v>
          </cell>
        </row>
      </sheetData>
      <sheetData sheetId="178">
        <row r="61">
          <cell r="D61">
            <v>0</v>
          </cell>
        </row>
      </sheetData>
      <sheetData sheetId="179">
        <row r="61">
          <cell r="D61">
            <v>0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61">
          <cell r="D61">
            <v>0</v>
          </cell>
        </row>
      </sheetData>
      <sheetData sheetId="199">
        <row r="61">
          <cell r="D61">
            <v>0</v>
          </cell>
        </row>
      </sheetData>
      <sheetData sheetId="200">
        <row r="61">
          <cell r="D61">
            <v>0</v>
          </cell>
        </row>
      </sheetData>
      <sheetData sheetId="201" refreshError="1"/>
      <sheetData sheetId="202">
        <row r="61">
          <cell r="D61">
            <v>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61">
          <cell r="D61">
            <v>0</v>
          </cell>
        </row>
      </sheetData>
      <sheetData sheetId="209">
        <row r="61">
          <cell r="D61">
            <v>0</v>
          </cell>
        </row>
      </sheetData>
      <sheetData sheetId="210">
        <row r="61">
          <cell r="D61">
            <v>0</v>
          </cell>
        </row>
      </sheetData>
      <sheetData sheetId="211">
        <row r="61">
          <cell r="D61">
            <v>0</v>
          </cell>
        </row>
      </sheetData>
      <sheetData sheetId="212">
        <row r="61">
          <cell r="D61">
            <v>0</v>
          </cell>
        </row>
      </sheetData>
      <sheetData sheetId="213">
        <row r="61">
          <cell r="D61">
            <v>0</v>
          </cell>
        </row>
      </sheetData>
      <sheetData sheetId="214">
        <row r="61">
          <cell r="D61">
            <v>0</v>
          </cell>
        </row>
      </sheetData>
      <sheetData sheetId="215">
        <row r="61">
          <cell r="D61">
            <v>0</v>
          </cell>
        </row>
      </sheetData>
      <sheetData sheetId="216">
        <row r="61">
          <cell r="D61">
            <v>0</v>
          </cell>
        </row>
      </sheetData>
      <sheetData sheetId="217">
        <row r="61">
          <cell r="D61">
            <v>0</v>
          </cell>
        </row>
      </sheetData>
      <sheetData sheetId="218">
        <row r="61">
          <cell r="D61">
            <v>0</v>
          </cell>
        </row>
      </sheetData>
      <sheetData sheetId="219">
        <row r="61">
          <cell r="D61">
            <v>0</v>
          </cell>
        </row>
      </sheetData>
      <sheetData sheetId="220">
        <row r="61">
          <cell r="D61">
            <v>0</v>
          </cell>
        </row>
      </sheetData>
      <sheetData sheetId="221">
        <row r="61">
          <cell r="D61">
            <v>0</v>
          </cell>
        </row>
      </sheetData>
      <sheetData sheetId="222">
        <row r="61">
          <cell r="D61">
            <v>0</v>
          </cell>
        </row>
      </sheetData>
      <sheetData sheetId="223">
        <row r="61">
          <cell r="D61">
            <v>0</v>
          </cell>
        </row>
      </sheetData>
      <sheetData sheetId="224">
        <row r="61">
          <cell r="D61">
            <v>0</v>
          </cell>
        </row>
      </sheetData>
      <sheetData sheetId="225">
        <row r="61">
          <cell r="D61">
            <v>0</v>
          </cell>
        </row>
      </sheetData>
      <sheetData sheetId="226">
        <row r="61">
          <cell r="D61">
            <v>0</v>
          </cell>
        </row>
      </sheetData>
      <sheetData sheetId="227">
        <row r="61">
          <cell r="D61">
            <v>0</v>
          </cell>
        </row>
      </sheetData>
      <sheetData sheetId="228">
        <row r="61">
          <cell r="D61">
            <v>0</v>
          </cell>
        </row>
      </sheetData>
      <sheetData sheetId="229">
        <row r="61">
          <cell r="D61">
            <v>0</v>
          </cell>
        </row>
      </sheetData>
      <sheetData sheetId="230">
        <row r="61">
          <cell r="D61">
            <v>0</v>
          </cell>
        </row>
      </sheetData>
      <sheetData sheetId="231">
        <row r="61">
          <cell r="D61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61">
          <cell r="D61">
            <v>0</v>
          </cell>
        </row>
      </sheetData>
      <sheetData sheetId="257">
        <row r="61">
          <cell r="D61">
            <v>0</v>
          </cell>
        </row>
      </sheetData>
      <sheetData sheetId="258">
        <row r="61">
          <cell r="D61">
            <v>0</v>
          </cell>
        </row>
      </sheetData>
      <sheetData sheetId="259">
        <row r="61">
          <cell r="D61">
            <v>0</v>
          </cell>
        </row>
      </sheetData>
      <sheetData sheetId="260">
        <row r="61">
          <cell r="D61">
            <v>0</v>
          </cell>
        </row>
      </sheetData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>
        <row r="61">
          <cell r="D61">
            <v>0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>
        <row r="61">
          <cell r="D61">
            <v>0</v>
          </cell>
        </row>
      </sheetData>
      <sheetData sheetId="280"/>
      <sheetData sheetId="281"/>
      <sheetData sheetId="282"/>
      <sheetData sheetId="283" refreshError="1"/>
      <sheetData sheetId="284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>
        <row r="61">
          <cell r="D61">
            <v>0</v>
          </cell>
        </row>
      </sheetData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>
        <row r="61">
          <cell r="D61">
            <v>0</v>
          </cell>
        </row>
      </sheetData>
      <sheetData sheetId="412">
        <row r="61">
          <cell r="D61">
            <v>0</v>
          </cell>
        </row>
      </sheetData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Свод-1"/>
    </sheetNames>
    <sheetDataSet>
      <sheetData sheetId="0" refreshError="1"/>
      <sheetData sheetId="1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екторам"/>
      <sheetName val="с учетом эволюции"/>
      <sheetName val="по направлениям"/>
      <sheetName val="Sheet3"/>
      <sheetName val="Сделки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CBD</v>
          </cell>
        </row>
        <row r="2">
          <cell r="A2" t="str">
            <v>Elektrozavodskiy</v>
          </cell>
        </row>
        <row r="3">
          <cell r="A3" t="str">
            <v>Leningradskiy</v>
          </cell>
        </row>
        <row r="4">
          <cell r="A4" t="str">
            <v>Leninskiy</v>
          </cell>
        </row>
        <row r="5">
          <cell r="A5" t="str">
            <v>Moscow-City</v>
          </cell>
        </row>
        <row r="6">
          <cell r="A6" t="str">
            <v>Other_E</v>
          </cell>
        </row>
        <row r="7">
          <cell r="A7" t="str">
            <v>Other_N</v>
          </cell>
        </row>
        <row r="8">
          <cell r="A8" t="str">
            <v>Other_NE</v>
          </cell>
        </row>
        <row r="9">
          <cell r="A9" t="str">
            <v>Other_NW</v>
          </cell>
        </row>
        <row r="10">
          <cell r="A10" t="str">
            <v>Other_S</v>
          </cell>
        </row>
        <row r="11">
          <cell r="A11" t="str">
            <v>Other_SE</v>
          </cell>
        </row>
        <row r="12">
          <cell r="A12" t="str">
            <v>Other_SW</v>
          </cell>
        </row>
        <row r="13">
          <cell r="A13" t="str">
            <v>Other_W</v>
          </cell>
        </row>
        <row r="14">
          <cell r="A14" t="str">
            <v>Suschevskiy</v>
          </cell>
        </row>
        <row r="15">
          <cell r="A15" t="str">
            <v>Tulskiy</v>
          </cell>
        </row>
      </sheetData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._стр-ва"/>
    </sheetNames>
    <sheetDataSet>
      <sheetData sheetId="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  <sheetName val="BS RAS"/>
      <sheetName val="списки"/>
      <sheetName val="6m-2003 факт без бартера"/>
      <sheetName val="Ф2Б"/>
      <sheetName val="Справочник"/>
      <sheetName val="справочники"/>
      <sheetName val="Огл. Графиков"/>
      <sheetName val="рабочий"/>
      <sheetName val="Текущие цены"/>
      <sheetName val="сценарии"/>
      <sheetName val="ВГР активы"/>
      <sheetName val="XLR_NoRangeSheet"/>
      <sheetName val="проверка_07"/>
      <sheetName val="БД_платежи"/>
      <sheetName val="Классификатор_затрат"/>
      <sheetName val="БД_поступления"/>
      <sheetName val="Классификатор_доходов"/>
      <sheetName val="_daily_2003"/>
      <sheetName val="ЛИСТ_1_бюджет_2003"/>
      <sheetName val="ЛИСТ_2_затраты_2003"/>
      <sheetName val="ЛИСТ_3_инвест_2003"/>
      <sheetName val="Form_CF"/>
      <sheetName val="Form_Budget"/>
      <sheetName val="Form_CF_decads"/>
      <sheetName val="Бюджет_доходов"/>
      <sheetName val="Бюджет_расходов"/>
      <sheetName val="Кл-р_SysTel"/>
      <sheetName val="проверка_06"/>
      <sheetName val="Кл_р_SysTel"/>
      <sheetName val="Общая_информация"/>
      <sheetName val="Курс_$"/>
      <sheetName val="Budget_Корнет"/>
      <sheetName val="BS_RAS"/>
      <sheetName val="6m-2003_факт_без_бартера"/>
      <sheetName val="проверка_071"/>
      <sheetName val="БД_платежи1"/>
      <sheetName val="Классификатор_затрат1"/>
      <sheetName val="БД_поступления1"/>
      <sheetName val="Классификатор_доходов1"/>
      <sheetName val="_daily_20031"/>
      <sheetName val="ЛИСТ_1_бюджет_20031"/>
      <sheetName val="ЛИСТ_2_затраты_20031"/>
      <sheetName val="ЛИСТ_3_инвест_20031"/>
      <sheetName val="Form_CF1"/>
      <sheetName val="Form_Budget1"/>
      <sheetName val="Form_CF_decads1"/>
      <sheetName val="Бюджет_доходов1"/>
      <sheetName val="Бюджет_расходов1"/>
      <sheetName val="Кл-р_SysTel1"/>
      <sheetName val="проверка_061"/>
      <sheetName val="Кл_р_SysTel1"/>
      <sheetName val="Общая_информация1"/>
      <sheetName val="Курс_$1"/>
      <sheetName val="Budget_Корнет1"/>
      <sheetName val="BS_RAS1"/>
      <sheetName val="6m-2003_факт_без_бартера1"/>
      <sheetName val="проверка_072"/>
      <sheetName val="БД_платежи2"/>
      <sheetName val="Классификатор_затрат2"/>
      <sheetName val="БД_поступления2"/>
      <sheetName val="Классификатор_доходов2"/>
      <sheetName val="_daily_20032"/>
      <sheetName val="ЛИСТ_1_бюджет_20032"/>
      <sheetName val="ЛИСТ_2_затраты_20032"/>
      <sheetName val="ЛИСТ_3_инвест_20032"/>
      <sheetName val="Form_CF2"/>
      <sheetName val="Form_Budget2"/>
      <sheetName val="Form_CF_decads2"/>
      <sheetName val="Бюджет_доходов2"/>
      <sheetName val="Бюджет_расходов2"/>
      <sheetName val="Кл-р_SysTel2"/>
      <sheetName val="проверка_062"/>
      <sheetName val="Кл_р_SysTel2"/>
      <sheetName val="Общая_информация2"/>
      <sheetName val="Курс_$2"/>
      <sheetName val="Budget_Корнет2"/>
      <sheetName val="BS_RAS2"/>
      <sheetName val="6m-2003_факт_без_бартер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танты"/>
    </sheetNames>
    <sheetDataSet>
      <sheetData sheetId="0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DATA"/>
      <sheetName val="TRAFFIC CALC"/>
      <sheetName val="TRAFFIC PAR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</sheetNames>
    <sheetDataSet>
      <sheetData sheetId="0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Параметры"/>
      <sheetName val="Продажи"/>
      <sheetName val="#ССЫЛКА"/>
      <sheetName val="шахматка"/>
      <sheetName val="сахар"/>
      <sheetName val="Лист1"/>
      <sheetName val="Лист2"/>
      <sheetName val="Лист3"/>
      <sheetName val="расчет inc"/>
      <sheetName val="зерно"/>
      <sheetName val="за месяц"/>
      <sheetName val="1309"/>
      <sheetName val="51"/>
      <sheetName val="41"/>
      <sheetName val="Сырец_2000"/>
      <sheetName val="08.12"/>
      <sheetName val="КЗ"/>
      <sheetName val="ЗЗ"/>
      <sheetName val="цена перер"/>
      <sheetName val="сырец"/>
      <sheetName val="qCourse"/>
      <sheetName val="расч 41"/>
      <sheetName val="inc"/>
      <sheetName val="х"/>
      <sheetName val="%% по кт"/>
      <sheetName val="CO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DATA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5"/>
      <sheetName val="Ф6"/>
      <sheetName val="Ф2"/>
      <sheetName val="Ф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  <sheetName val="Смета"/>
      <sheetName val="План_Платежей"/>
      <sheetName val="Факт Dink-Inv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ЛССМУ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-итог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сса-казань-декабрь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+"/>
      <sheetName val="ВводД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тБ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 ЦЕНЫ "/>
      <sheetName val="см. РАСЦЕНКИ"/>
      <sheetName val="см. КРЫЛЬЦА"/>
      <sheetName val="благоустр"/>
      <sheetName val="ПОЛЫ (2)"/>
      <sheetName val="сети"/>
      <sheetName val="12.разные"/>
      <sheetName val="11.м~констр"/>
      <sheetName val="10.отделка"/>
      <sheetName val="9.полы"/>
      <sheetName val="8.проемы"/>
      <sheetName val="7.кровля"/>
      <sheetName val="6.лестница"/>
      <sheetName val="5.перекр"/>
      <sheetName val="4.перегор."/>
      <sheetName val="3.стены"/>
      <sheetName val="2.фунд."/>
      <sheetName val="1.земл."/>
      <sheetName val="см_ ЦЕНЫ "/>
    </sheetNames>
    <sheetDataSet>
      <sheetData sheetId="0" refreshError="1">
        <row r="24">
          <cell r="B24" t="str">
            <v>М/КАРКАСЫ</v>
          </cell>
        </row>
        <row r="34">
          <cell r="B34" t="str">
            <v>Ж/БЕТОН</v>
          </cell>
        </row>
        <row r="79">
          <cell r="B79" t="str">
            <v>МЕТАЛЛ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Backup of BUDJ_02_00"/>
    </sheetNames>
    <definedNames>
      <definedName name="GetSANDValue"/>
      <definedName name="GetVal"/>
      <definedName name="PutHeader" sheetId="0"/>
    </defined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.(октябрь)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Доходный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 доходов"/>
      <sheetName val="расш_ББ_1"/>
      <sheetName val="расш расходов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КР"/>
      <sheetName val="Отгрузка"/>
      <sheetName val="MACRO"/>
      <sheetName val="Поступления"/>
      <sheetName val="Хран сах "/>
      <sheetName val="Льгов"/>
      <sheetName val="Инвест.план к БДДС"/>
      <sheetName val="Фин. вложения"/>
      <sheetName val="Хотмыжск"/>
      <sheetName val="#ССЫЛКА"/>
      <sheetName val="d_pok"/>
      <sheetName val="за месяц"/>
      <sheetName val="Кред. задолж."/>
      <sheetName val="платежи"/>
      <sheetName val="Изменения"/>
      <sheetName val="титул"/>
      <sheetName val="СКР"/>
      <sheetName val="2 деньги в пути"/>
      <sheetName val="1.14"/>
      <sheetName val="Прочий товар"/>
      <sheetName val=" БДДС"/>
      <sheetName val="б"/>
      <sheetName val="Balance Sheet"/>
      <sheetName val="1.10"/>
      <sheetName val="Баланс-новый"/>
      <sheetName val="Гр фин"/>
      <sheetName val="PL (2)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_"/>
      <sheetName val="земл"/>
      <sheetName val="ф-ты"/>
      <sheetName val="нар.отдел"/>
      <sheetName val="вн.от(стены)"/>
      <sheetName val="вн.от(потолки) ---"/>
      <sheetName val="вн.отдел ---"/>
      <sheetName val="лестницы !"/>
      <sheetName val="Смета~крыльцо"/>
      <sheetName val="м~констр."/>
      <sheetName val="благоустр."/>
      <sheetName val="полы !"/>
      <sheetName val="полы (по типам)"/>
      <sheetName val="проёмы ---"/>
      <sheetName val="перегородки ---"/>
      <sheetName val="стены"/>
      <sheetName val="разные"/>
      <sheetName val="перекрытия"/>
      <sheetName val="Акт ноя стр (буфет)"/>
      <sheetName val="кровля"/>
      <sheetName val="вн.от(полы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Параметры"/>
      <sheetName val="Корпуса"/>
      <sheetName val="Сводный-затраты"/>
      <sheetName val="План поступлений"/>
      <sheetName val="ПДДС-корпуса"/>
      <sheetName val="ПДР-корпуса"/>
      <sheetName val="ПДДС-сводный"/>
      <sheetName val="ПДР-сводный"/>
      <sheetName val="Печать"/>
      <sheetName val="Показатели"/>
      <sheetName val="План_поступлений"/>
      <sheetName val="План_поступлений1"/>
      <sheetName val="План_поступлений2"/>
      <sheetName val="План_поступлений3"/>
      <sheetName val="Гр+"/>
      <sheetName val="ВводД"/>
      <sheetName val="Narratives-Subsidiarie"/>
      <sheetName val="Rent"/>
      <sheetName val="лист4"/>
      <sheetName val="cur_projects pl"/>
      <sheetName val="input data"/>
      <sheetName val="sараметры"/>
      <sheetName val="Черновик"/>
      <sheetName val="Cash2"/>
      <sheetName val="Z"/>
      <sheetName val="lob"/>
      <sheetName val="заявка"/>
      <sheetName val="Вводы и передача"/>
      <sheetName val="Сводная ЛССМУ"/>
      <sheetName val="Итог по НПО "/>
      <sheetName val="Таблица"/>
      <sheetName val="Summary"/>
      <sheetName val="Read me first"/>
      <sheetName val="GLC_ratios_Jun"/>
      <sheetName val="inputs"/>
      <sheetName val="Затр с инфл (с инж)"/>
      <sheetName val="План_поступлений4"/>
      <sheetName val="cur_projects_pl"/>
      <sheetName val="input_data"/>
      <sheetName val="Вводы_и_передача"/>
      <sheetName val="Сводная_ЛССМУ"/>
      <sheetName val="Итог_по_НПО_"/>
      <sheetName val="Read_me_first"/>
      <sheetName val="Состав Группы"/>
      <sheetName val="KFI "/>
      <sheetName val="assump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Анализ"/>
      <sheetName val="AOP Summary-2"/>
      <sheetName val="POW"/>
      <sheetName val="comps"/>
      <sheetName val="Лист1-ЛССМУ"/>
      <sheetName val="№1_Отчет о реализации площадей"/>
      <sheetName val="Breakdown CAPEX (PBC)"/>
      <sheetName val="C.1.D.1.РСП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cenar"/>
      <sheetName val="РС котлован"/>
      <sheetName val="Лист5"/>
      <sheetName val="Р1"/>
      <sheetName val="finansal tamamlanma eğrisi"/>
      <sheetName val="cost-tz"/>
      <sheetName val="Assumptions"/>
      <sheetName val="siva"/>
      <sheetName val="Входные параметры"/>
      <sheetName val="бюджет-смольный2"/>
      <sheetName val="Май"/>
      <sheetName val="060127"/>
      <sheetName val="Новая КС"/>
      <sheetName val="План_поступлений5"/>
      <sheetName val="cur_projects_pl1"/>
      <sheetName val="input_data1"/>
      <sheetName val="Вводы_и_передача1"/>
      <sheetName val="Сводная_ЛССМУ1"/>
      <sheetName val="Итог_по_НПО_1"/>
      <sheetName val="Read_me_first1"/>
      <sheetName val="AOP_Summary-2"/>
      <sheetName val="Состав_Группы"/>
      <sheetName val="KFI_"/>
      <sheetName val="Затр_с_инфл_(с_инж)"/>
      <sheetName val="Контрагенты"/>
      <sheetName val="Справочник"/>
      <sheetName val="список квартир"/>
      <sheetName val="оплата по графикам"/>
      <sheetName val="Предпосылки"/>
      <sheetName val="Analitics"/>
      <sheetName val="1.Список"/>
      <sheetName val="Векселя"/>
      <sheetName val="Карта"/>
      <sheetName val="Касса"/>
      <sheetName val="Р_счет"/>
      <sheetName val="План_поступлений6"/>
      <sheetName val="Сводная_ЛССМУ2"/>
      <sheetName val="cur_projects_pl2"/>
      <sheetName val="input_data2"/>
      <sheetName val="Вводы_и_передача2"/>
      <sheetName val="Итог_по_НПО_2"/>
      <sheetName val="Read_me_first2"/>
      <sheetName val="AOP_Summary-21"/>
      <sheetName val="Состав_Группы1"/>
      <sheetName val="KFI_1"/>
      <sheetName val="Затр_с_инфл_(с_инж)1"/>
      <sheetName val="№1_Отчет_о_реализации_площадей"/>
      <sheetName val="Breakdown_CAPEX_(PBC)"/>
      <sheetName val="C_1_D_1_РСП"/>
      <sheetName val="oil_"/>
      <sheetName val="mobile_"/>
      <sheetName val="energy_"/>
      <sheetName val="metal_"/>
      <sheetName val="telecom_"/>
      <sheetName val="Входные_параметры"/>
      <sheetName val="Новая_КС"/>
      <sheetName val="Справочники"/>
      <sheetName val="OFFER SUMMARY (USD)"/>
      <sheetName val="RC-BALTIKA Butce Formu"/>
      <sheetName val="KAPAK"/>
      <sheetName val="Data Input"/>
      <sheetName val="Лист1"/>
      <sheetName val="summary_endirek"/>
      <sheetName val="План_поступлений7"/>
      <sheetName val="Отчет о реализации площадей"/>
      <sheetName val="U-factors - calc"/>
      <sheetName val="data"/>
      <sheetName val="Новая презентация"/>
      <sheetName val="share price 2002"/>
      <sheetName val="ADAMSAAT MAL."/>
      <sheetName val="kalite hedefleri -tablo icin"/>
      <sheetName val="Data Sheet"/>
      <sheetName val="Tables"/>
      <sheetName val="Adam-saat Kod"/>
      <sheetName val="fitoutconfcentre"/>
      <sheetName val="Personnel"/>
      <sheetName val="Beton Maliyet Analizi"/>
    </sheetNames>
    <sheetDataSet>
      <sheetData sheetId="0">
        <row r="10">
          <cell r="B10">
            <v>40</v>
          </cell>
        </row>
      </sheetData>
      <sheetData sheetId="1">
        <row r="3">
          <cell r="C3">
            <v>100604.08</v>
          </cell>
        </row>
      </sheetData>
      <sheetData sheetId="2">
        <row r="10">
          <cell r="B10">
            <v>40</v>
          </cell>
        </row>
      </sheetData>
      <sheetData sheetId="3">
        <row r="10">
          <cell r="B10">
            <v>40</v>
          </cell>
        </row>
      </sheetData>
      <sheetData sheetId="4" refreshError="1">
        <row r="10">
          <cell r="B10">
            <v>40</v>
          </cell>
        </row>
        <row r="11">
          <cell r="B11">
            <v>25</v>
          </cell>
        </row>
        <row r="12">
          <cell r="B12">
            <v>25000</v>
          </cell>
        </row>
        <row r="13">
          <cell r="B13">
            <v>0.85</v>
          </cell>
        </row>
        <row r="14">
          <cell r="B14">
            <v>0.9</v>
          </cell>
        </row>
        <row r="24">
          <cell r="B24">
            <v>222</v>
          </cell>
        </row>
        <row r="33">
          <cell r="B33">
            <v>0.06</v>
          </cell>
        </row>
        <row r="34">
          <cell r="B34">
            <v>0.18</v>
          </cell>
        </row>
        <row r="35">
          <cell r="B35">
            <v>0.03</v>
          </cell>
        </row>
        <row r="36">
          <cell r="B36">
            <v>0.2</v>
          </cell>
        </row>
      </sheetData>
      <sheetData sheetId="5">
        <row r="3">
          <cell r="C3">
            <v>100604.08</v>
          </cell>
        </row>
      </sheetData>
      <sheetData sheetId="6" refreshError="1">
        <row r="3">
          <cell r="C3">
            <v>100604.08</v>
          </cell>
        </row>
      </sheetData>
      <sheetData sheetId="7">
        <row r="3">
          <cell r="C3">
            <v>100604.08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>
        <row r="3">
          <cell r="C3">
            <v>100604.08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3">
          <cell r="C3">
            <v>100604.08</v>
          </cell>
        </row>
      </sheetData>
      <sheetData sheetId="90">
        <row r="3">
          <cell r="C3">
            <v>100604.08</v>
          </cell>
        </row>
      </sheetData>
      <sheetData sheetId="91">
        <row r="3">
          <cell r="C3">
            <v>100604.08</v>
          </cell>
        </row>
      </sheetData>
      <sheetData sheetId="92">
        <row r="3">
          <cell r="C3">
            <v>100604.08</v>
          </cell>
        </row>
      </sheetData>
      <sheetData sheetId="93"/>
      <sheetData sheetId="94">
        <row r="3">
          <cell r="C3">
            <v>100604.08</v>
          </cell>
        </row>
      </sheetData>
      <sheetData sheetId="95">
        <row r="3">
          <cell r="C3">
            <v>100604.08</v>
          </cell>
        </row>
      </sheetData>
      <sheetData sheetId="96">
        <row r="3">
          <cell r="C3">
            <v>100604.08</v>
          </cell>
        </row>
      </sheetData>
      <sheetData sheetId="97">
        <row r="3">
          <cell r="C3">
            <v>100604.08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3">
          <cell r="C3">
            <v>100604.08</v>
          </cell>
        </row>
      </sheetData>
      <sheetData sheetId="114"/>
      <sheetData sheetId="115">
        <row r="3">
          <cell r="C3">
            <v>100604.08</v>
          </cell>
        </row>
      </sheetData>
      <sheetData sheetId="116">
        <row r="3">
          <cell r="C3">
            <v>100604.08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 refreshError="1"/>
      <sheetData sheetId="137" refreshError="1"/>
      <sheetData sheetId="138" refreshError="1"/>
      <sheetData sheetId="139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/>
      <sheetData sheetId="15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"/>
      <sheetName val="Sum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нженерка"/>
      <sheetName val="Ст-ть здания"/>
      <sheetName val="Аналоги"/>
      <sheetName val="Аренда земли"/>
      <sheetName val="ДВД"/>
      <sheetName val="ЧОД!!!"/>
      <sheetName val="Коэф. капит."/>
      <sheetName val="Итоги"/>
      <sheetName val="Кадастр"/>
      <sheetName val="Служебный"/>
    </sheetNames>
    <sheetDataSet>
      <sheetData sheetId="0">
        <row r="14">
          <cell r="B14">
            <v>31.118400000000001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77:01:0001001</v>
          </cell>
        </row>
        <row r="5">
          <cell r="B5" t="str">
            <v>77:01:0001002</v>
          </cell>
        </row>
        <row r="6">
          <cell r="B6" t="str">
            <v>77:01:0001003</v>
          </cell>
        </row>
        <row r="7">
          <cell r="B7" t="str">
            <v>77:01:0001004</v>
          </cell>
        </row>
        <row r="8">
          <cell r="B8" t="str">
            <v>77:01:0001005</v>
          </cell>
        </row>
        <row r="9">
          <cell r="B9" t="str">
            <v>77:01:0001006</v>
          </cell>
        </row>
        <row r="10">
          <cell r="B10" t="str">
            <v>77:01:0001007</v>
          </cell>
        </row>
        <row r="11">
          <cell r="B11" t="str">
            <v>77:01:0001008</v>
          </cell>
        </row>
        <row r="12">
          <cell r="B12" t="str">
            <v>77:01:0001009</v>
          </cell>
        </row>
        <row r="13">
          <cell r="B13" t="str">
            <v>77:01:0001010</v>
          </cell>
        </row>
        <row r="14">
          <cell r="B14" t="str">
            <v>77:01:0001011</v>
          </cell>
        </row>
        <row r="15">
          <cell r="B15" t="str">
            <v>77:01:0001012</v>
          </cell>
        </row>
        <row r="16">
          <cell r="B16" t="str">
            <v>77:01:0001013</v>
          </cell>
        </row>
        <row r="17">
          <cell r="B17" t="str">
            <v>77:01:0001014</v>
          </cell>
        </row>
        <row r="18">
          <cell r="B18" t="str">
            <v>77:01:0001015</v>
          </cell>
        </row>
        <row r="19">
          <cell r="B19" t="str">
            <v>77:01:0001016</v>
          </cell>
        </row>
        <row r="20">
          <cell r="B20" t="str">
            <v>77:01:0001017</v>
          </cell>
        </row>
        <row r="21">
          <cell r="B21" t="str">
            <v>77:01:0001018</v>
          </cell>
        </row>
        <row r="22">
          <cell r="B22" t="str">
            <v>77:01:0001019</v>
          </cell>
        </row>
        <row r="23">
          <cell r="B23" t="str">
            <v>77:01:0001020</v>
          </cell>
        </row>
        <row r="24">
          <cell r="B24" t="str">
            <v>77:01:0001021</v>
          </cell>
        </row>
        <row r="25">
          <cell r="B25" t="str">
            <v>77:01:0001022</v>
          </cell>
        </row>
        <row r="26">
          <cell r="B26" t="str">
            <v>77:01:0001023</v>
          </cell>
        </row>
        <row r="27">
          <cell r="B27" t="str">
            <v>77:01:0001024</v>
          </cell>
        </row>
        <row r="28">
          <cell r="B28" t="str">
            <v>77:01:0001025</v>
          </cell>
        </row>
        <row r="29">
          <cell r="B29" t="str">
            <v>77:01:0001026</v>
          </cell>
        </row>
        <row r="30">
          <cell r="B30" t="str">
            <v>77:01:0001027</v>
          </cell>
        </row>
        <row r="31">
          <cell r="B31" t="str">
            <v>77:01:0001028</v>
          </cell>
        </row>
        <row r="32">
          <cell r="B32" t="str">
            <v>77:01:0001029</v>
          </cell>
        </row>
        <row r="33">
          <cell r="B33" t="str">
            <v>77:01:0001030</v>
          </cell>
        </row>
        <row r="34">
          <cell r="B34" t="str">
            <v>77:01:0001031</v>
          </cell>
        </row>
        <row r="35">
          <cell r="B35" t="str">
            <v>77:01:0001032</v>
          </cell>
        </row>
        <row r="36">
          <cell r="B36" t="str">
            <v>77:01:0001033</v>
          </cell>
        </row>
        <row r="37">
          <cell r="B37" t="str">
            <v>77:01:0001034</v>
          </cell>
        </row>
        <row r="38">
          <cell r="B38" t="str">
            <v>77:01:0001035</v>
          </cell>
        </row>
        <row r="39">
          <cell r="B39" t="str">
            <v>77:01:0001036</v>
          </cell>
        </row>
        <row r="40">
          <cell r="B40" t="str">
            <v>77:01:0001037</v>
          </cell>
        </row>
        <row r="41">
          <cell r="B41" t="str">
            <v>77:01:0001038</v>
          </cell>
        </row>
        <row r="42">
          <cell r="B42" t="str">
            <v>77:01:0001039</v>
          </cell>
        </row>
        <row r="43">
          <cell r="B43" t="str">
            <v>77:01:0001040</v>
          </cell>
        </row>
        <row r="44">
          <cell r="B44" t="str">
            <v>77:01:0001041</v>
          </cell>
        </row>
        <row r="45">
          <cell r="B45" t="str">
            <v>77:01:0001042</v>
          </cell>
        </row>
        <row r="46">
          <cell r="B46" t="str">
            <v>77:01:0001043</v>
          </cell>
        </row>
        <row r="47">
          <cell r="B47" t="str">
            <v>77:01:0001044</v>
          </cell>
        </row>
        <row r="48">
          <cell r="B48" t="str">
            <v>77:01:0001045</v>
          </cell>
        </row>
        <row r="49">
          <cell r="B49" t="str">
            <v>77:01:0001046</v>
          </cell>
        </row>
        <row r="50">
          <cell r="B50" t="str">
            <v>77:01:0001047</v>
          </cell>
        </row>
        <row r="51">
          <cell r="B51" t="str">
            <v>77:01:0001048</v>
          </cell>
        </row>
        <row r="52">
          <cell r="B52" t="str">
            <v>77:01:0001049</v>
          </cell>
        </row>
        <row r="53">
          <cell r="B53" t="str">
            <v>77:01:0001050</v>
          </cell>
        </row>
        <row r="54">
          <cell r="B54" t="str">
            <v>77:01:0001051</v>
          </cell>
        </row>
        <row r="55">
          <cell r="B55" t="str">
            <v>77:01:0001052</v>
          </cell>
        </row>
        <row r="56">
          <cell r="B56" t="str">
            <v>77:01:0001053</v>
          </cell>
        </row>
        <row r="57">
          <cell r="B57" t="str">
            <v>77:01:0001054</v>
          </cell>
        </row>
        <row r="58">
          <cell r="B58" t="str">
            <v>77:01:0001055</v>
          </cell>
        </row>
        <row r="59">
          <cell r="B59" t="str">
            <v>77:01:0001056</v>
          </cell>
        </row>
        <row r="60">
          <cell r="B60" t="str">
            <v>77:01:0001057</v>
          </cell>
        </row>
        <row r="61">
          <cell r="B61" t="str">
            <v>77:01:0001058</v>
          </cell>
        </row>
        <row r="62">
          <cell r="B62" t="str">
            <v>77:01:0001059</v>
          </cell>
        </row>
        <row r="63">
          <cell r="B63" t="str">
            <v>77:01:0001060</v>
          </cell>
        </row>
        <row r="64">
          <cell r="B64" t="str">
            <v>77:01:0001061</v>
          </cell>
        </row>
        <row r="65">
          <cell r="B65" t="str">
            <v>77:01:0001062</v>
          </cell>
        </row>
        <row r="66">
          <cell r="B66" t="str">
            <v>77:01:0001063</v>
          </cell>
        </row>
        <row r="67">
          <cell r="B67" t="str">
            <v>77:01:0001064</v>
          </cell>
        </row>
        <row r="68">
          <cell r="B68" t="str">
            <v>77:01:0001065</v>
          </cell>
        </row>
        <row r="69">
          <cell r="B69" t="str">
            <v>77:01:0001066</v>
          </cell>
        </row>
        <row r="70">
          <cell r="B70" t="str">
            <v>77:01:0001067</v>
          </cell>
        </row>
        <row r="71">
          <cell r="B71" t="str">
            <v>77:01:0001068</v>
          </cell>
        </row>
        <row r="72">
          <cell r="B72" t="str">
            <v>77:01:0001069</v>
          </cell>
        </row>
        <row r="73">
          <cell r="B73" t="str">
            <v>77:01:0001070</v>
          </cell>
        </row>
        <row r="74">
          <cell r="B74" t="str">
            <v>77:01:0001071</v>
          </cell>
        </row>
        <row r="75">
          <cell r="B75" t="str">
            <v>77:01:0001072</v>
          </cell>
        </row>
        <row r="76">
          <cell r="B76" t="str">
            <v>77:01:0001073</v>
          </cell>
        </row>
        <row r="77">
          <cell r="B77" t="str">
            <v>77:01:0001074</v>
          </cell>
        </row>
        <row r="78">
          <cell r="B78" t="str">
            <v>77:01:0001075</v>
          </cell>
        </row>
        <row r="79">
          <cell r="B79" t="str">
            <v>77:01:0001076</v>
          </cell>
        </row>
        <row r="80">
          <cell r="B80" t="str">
            <v>77:01:0001077</v>
          </cell>
        </row>
        <row r="81">
          <cell r="B81" t="str">
            <v>77:01:0001078</v>
          </cell>
        </row>
        <row r="82">
          <cell r="B82" t="str">
            <v>77:01:0001079</v>
          </cell>
        </row>
        <row r="83">
          <cell r="B83" t="str">
            <v>77:01:0001080</v>
          </cell>
        </row>
        <row r="84">
          <cell r="B84" t="str">
            <v>77:01:0001081</v>
          </cell>
        </row>
        <row r="85">
          <cell r="B85" t="str">
            <v>77:01:0001082</v>
          </cell>
        </row>
        <row r="86">
          <cell r="B86" t="str">
            <v>77:01:0001083</v>
          </cell>
        </row>
        <row r="87">
          <cell r="B87" t="str">
            <v>77:01:0001084</v>
          </cell>
        </row>
        <row r="88">
          <cell r="B88" t="str">
            <v>77:01:0001085</v>
          </cell>
        </row>
        <row r="89">
          <cell r="B89" t="str">
            <v>77:01:0001086</v>
          </cell>
        </row>
        <row r="90">
          <cell r="B90" t="str">
            <v>77:01:0001087</v>
          </cell>
        </row>
        <row r="91">
          <cell r="B91" t="str">
            <v>77:01:0001088</v>
          </cell>
        </row>
        <row r="92">
          <cell r="B92" t="str">
            <v>77:01:0001089</v>
          </cell>
        </row>
        <row r="93">
          <cell r="B93" t="str">
            <v>77:01:0001090</v>
          </cell>
        </row>
        <row r="94">
          <cell r="B94" t="str">
            <v>77:01:0001091</v>
          </cell>
        </row>
        <row r="95">
          <cell r="B95" t="str">
            <v>77:01:0001092</v>
          </cell>
        </row>
        <row r="96">
          <cell r="B96" t="str">
            <v>77:01:0001093</v>
          </cell>
        </row>
        <row r="97">
          <cell r="B97" t="str">
            <v>77:01:0001094</v>
          </cell>
        </row>
        <row r="98">
          <cell r="B98" t="str">
            <v>77:01:0001095</v>
          </cell>
        </row>
        <row r="99">
          <cell r="B99" t="str">
            <v>77:01:0001096</v>
          </cell>
        </row>
        <row r="100">
          <cell r="B100" t="str">
            <v>77:01:0001097</v>
          </cell>
        </row>
        <row r="101">
          <cell r="B101" t="str">
            <v>77:01:0001098</v>
          </cell>
        </row>
        <row r="102">
          <cell r="B102" t="str">
            <v>77:01:0001099</v>
          </cell>
        </row>
        <row r="103">
          <cell r="B103" t="str">
            <v>77:01:0001100</v>
          </cell>
        </row>
        <row r="104">
          <cell r="B104" t="str">
            <v>77:01:0001101</v>
          </cell>
        </row>
        <row r="105">
          <cell r="B105" t="str">
            <v>77:01:0001102</v>
          </cell>
        </row>
        <row r="106">
          <cell r="B106" t="str">
            <v>77:01:0001103</v>
          </cell>
        </row>
        <row r="107">
          <cell r="B107" t="str">
            <v>77:01:0001104</v>
          </cell>
        </row>
        <row r="108">
          <cell r="B108" t="str">
            <v>77:01:0002001</v>
          </cell>
        </row>
        <row r="109">
          <cell r="B109" t="str">
            <v>77:01:0002002</v>
          </cell>
        </row>
        <row r="110">
          <cell r="B110" t="str">
            <v>77:01:0002003</v>
          </cell>
        </row>
        <row r="111">
          <cell r="B111" t="str">
            <v>77:01:0002004</v>
          </cell>
        </row>
        <row r="112">
          <cell r="B112" t="str">
            <v>77:01:0002005</v>
          </cell>
        </row>
        <row r="113">
          <cell r="B113" t="str">
            <v>77:01:0002006</v>
          </cell>
        </row>
        <row r="114">
          <cell r="B114" t="str">
            <v>77:01:0002007</v>
          </cell>
        </row>
        <row r="115">
          <cell r="B115" t="str">
            <v>77:01:0002008</v>
          </cell>
        </row>
        <row r="116">
          <cell r="B116" t="str">
            <v>77:01:0002009</v>
          </cell>
        </row>
        <row r="117">
          <cell r="B117" t="str">
            <v>77:01:0002010</v>
          </cell>
        </row>
        <row r="118">
          <cell r="B118" t="str">
            <v>77:01:0002011</v>
          </cell>
        </row>
        <row r="119">
          <cell r="B119" t="str">
            <v>77:01:0002012</v>
          </cell>
        </row>
        <row r="120">
          <cell r="B120" t="str">
            <v>77:01:0002013</v>
          </cell>
        </row>
        <row r="121">
          <cell r="B121" t="str">
            <v>77:01:0002014</v>
          </cell>
        </row>
        <row r="122">
          <cell r="B122" t="str">
            <v>77:01:0002015</v>
          </cell>
        </row>
        <row r="123">
          <cell r="B123" t="str">
            <v>77:01:0002016</v>
          </cell>
        </row>
        <row r="124">
          <cell r="B124" t="str">
            <v>77:01:0002017</v>
          </cell>
        </row>
        <row r="125">
          <cell r="B125" t="str">
            <v>77:01:0002018</v>
          </cell>
        </row>
        <row r="126">
          <cell r="B126" t="str">
            <v>77:01:0002019</v>
          </cell>
        </row>
        <row r="127">
          <cell r="B127" t="str">
            <v>77:01:0002020</v>
          </cell>
        </row>
        <row r="128">
          <cell r="B128" t="str">
            <v>77:01:0002021</v>
          </cell>
        </row>
        <row r="129">
          <cell r="B129" t="str">
            <v>77:01:0002022</v>
          </cell>
        </row>
        <row r="130">
          <cell r="B130" t="str">
            <v>77:01:0002023</v>
          </cell>
        </row>
        <row r="131">
          <cell r="B131" t="str">
            <v>77:01:0002024</v>
          </cell>
        </row>
        <row r="132">
          <cell r="B132" t="str">
            <v>77:01:0002025</v>
          </cell>
        </row>
        <row r="133">
          <cell r="B133" t="str">
            <v>77:01:0002026</v>
          </cell>
        </row>
        <row r="134">
          <cell r="B134" t="str">
            <v>77:01:0002027</v>
          </cell>
        </row>
        <row r="135">
          <cell r="B135" t="str">
            <v>77:01:0002028</v>
          </cell>
        </row>
        <row r="136">
          <cell r="B136" t="str">
            <v>77:01:0003001</v>
          </cell>
        </row>
        <row r="137">
          <cell r="B137" t="str">
            <v>77:01:0003002</v>
          </cell>
        </row>
        <row r="138">
          <cell r="B138" t="str">
            <v>77:01:0003003</v>
          </cell>
        </row>
        <row r="139">
          <cell r="B139" t="str">
            <v>77:01:0003004</v>
          </cell>
        </row>
        <row r="140">
          <cell r="B140" t="str">
            <v>77:01:0003005</v>
          </cell>
        </row>
        <row r="141">
          <cell r="B141" t="str">
            <v>77:01:0003006</v>
          </cell>
        </row>
        <row r="142">
          <cell r="B142" t="str">
            <v>77:01:0003007</v>
          </cell>
        </row>
        <row r="143">
          <cell r="B143" t="str">
            <v>77:01:0003008</v>
          </cell>
        </row>
        <row r="144">
          <cell r="B144" t="str">
            <v>77:01:0003009</v>
          </cell>
        </row>
        <row r="145">
          <cell r="B145" t="str">
            <v>77:01:0003010</v>
          </cell>
        </row>
        <row r="146">
          <cell r="B146" t="str">
            <v>77:01:0003011</v>
          </cell>
        </row>
        <row r="147">
          <cell r="B147" t="str">
            <v>77:01:0003012</v>
          </cell>
        </row>
        <row r="148">
          <cell r="B148" t="str">
            <v>77:01:0003013</v>
          </cell>
        </row>
        <row r="149">
          <cell r="B149" t="str">
            <v>77:01:0003014</v>
          </cell>
        </row>
        <row r="150">
          <cell r="B150" t="str">
            <v>77:01:0003015</v>
          </cell>
        </row>
        <row r="151">
          <cell r="B151" t="str">
            <v>77:01:0003016</v>
          </cell>
        </row>
        <row r="152">
          <cell r="B152" t="str">
            <v>77:01:0003017</v>
          </cell>
        </row>
        <row r="153">
          <cell r="B153" t="str">
            <v>77:01:0003018</v>
          </cell>
        </row>
        <row r="154">
          <cell r="B154" t="str">
            <v>77:01:0003019</v>
          </cell>
        </row>
        <row r="155">
          <cell r="B155" t="str">
            <v>77:01:0003020</v>
          </cell>
        </row>
        <row r="156">
          <cell r="B156" t="str">
            <v>77:01:0003021</v>
          </cell>
        </row>
        <row r="157">
          <cell r="B157" t="str">
            <v>77:01:0003022</v>
          </cell>
        </row>
        <row r="158">
          <cell r="B158" t="str">
            <v>77:01:0003023</v>
          </cell>
        </row>
        <row r="159">
          <cell r="B159" t="str">
            <v>77:01:0003024</v>
          </cell>
        </row>
        <row r="160">
          <cell r="B160" t="str">
            <v>77:01:0003025</v>
          </cell>
        </row>
        <row r="161">
          <cell r="B161" t="str">
            <v>77:01:0003026</v>
          </cell>
        </row>
        <row r="162">
          <cell r="B162" t="str">
            <v>77:01:0003027</v>
          </cell>
        </row>
        <row r="163">
          <cell r="B163" t="str">
            <v>77:01:0003028</v>
          </cell>
        </row>
        <row r="164">
          <cell r="B164" t="str">
            <v>77:01:0003029</v>
          </cell>
        </row>
        <row r="165">
          <cell r="B165" t="str">
            <v>77:01:0003030</v>
          </cell>
        </row>
        <row r="166">
          <cell r="B166" t="str">
            <v>77:01:0003031</v>
          </cell>
        </row>
        <row r="167">
          <cell r="B167" t="str">
            <v>77:01:0003032</v>
          </cell>
        </row>
        <row r="168">
          <cell r="B168" t="str">
            <v>77:01:0003033</v>
          </cell>
        </row>
        <row r="169">
          <cell r="B169" t="str">
            <v>77:01:0003034</v>
          </cell>
        </row>
        <row r="170">
          <cell r="B170" t="str">
            <v>77:01:0003035</v>
          </cell>
        </row>
        <row r="171">
          <cell r="B171" t="str">
            <v>77:01:0003036</v>
          </cell>
        </row>
        <row r="172">
          <cell r="B172" t="str">
            <v>77:01:0003037</v>
          </cell>
        </row>
        <row r="173">
          <cell r="B173" t="str">
            <v>77:01:0003038</v>
          </cell>
        </row>
        <row r="174">
          <cell r="B174" t="str">
            <v>77:01:0003039</v>
          </cell>
        </row>
        <row r="175">
          <cell r="B175" t="str">
            <v>77:01:0003040</v>
          </cell>
        </row>
        <row r="176">
          <cell r="B176" t="str">
            <v>77:01:0003041</v>
          </cell>
        </row>
        <row r="177">
          <cell r="B177" t="str">
            <v>77:01:0003042</v>
          </cell>
        </row>
        <row r="178">
          <cell r="B178" t="str">
            <v>77:01:0003043</v>
          </cell>
        </row>
        <row r="179">
          <cell r="B179" t="str">
            <v>77:01:0003044</v>
          </cell>
        </row>
        <row r="180">
          <cell r="B180" t="str">
            <v>77:01:0003045</v>
          </cell>
        </row>
        <row r="181">
          <cell r="B181" t="str">
            <v>77:01:0003046</v>
          </cell>
        </row>
        <row r="182">
          <cell r="B182" t="str">
            <v>77:01:0003047</v>
          </cell>
        </row>
        <row r="183">
          <cell r="B183" t="str">
            <v>77:01:0003048</v>
          </cell>
        </row>
        <row r="184">
          <cell r="B184" t="str">
            <v>77:01:0003049</v>
          </cell>
        </row>
        <row r="185">
          <cell r="B185" t="str">
            <v>77:01:0003050</v>
          </cell>
        </row>
        <row r="186">
          <cell r="B186" t="str">
            <v>77:01:0003051</v>
          </cell>
        </row>
        <row r="187">
          <cell r="B187" t="str">
            <v>77:01:0003052</v>
          </cell>
        </row>
        <row r="188">
          <cell r="B188" t="str">
            <v>77:01:0003053</v>
          </cell>
        </row>
        <row r="189">
          <cell r="B189" t="str">
            <v>77:01:0003054</v>
          </cell>
        </row>
        <row r="190">
          <cell r="B190" t="str">
            <v>77:01:0003055</v>
          </cell>
        </row>
        <row r="191">
          <cell r="B191" t="str">
            <v>77:01:0003056</v>
          </cell>
        </row>
        <row r="192">
          <cell r="B192" t="str">
            <v>77:01:0003057</v>
          </cell>
        </row>
        <row r="193">
          <cell r="B193" t="str">
            <v>77:01:0003058</v>
          </cell>
        </row>
        <row r="194">
          <cell r="B194" t="str">
            <v>77:01:0003059</v>
          </cell>
        </row>
        <row r="195">
          <cell r="B195" t="str">
            <v>77:01:0003060</v>
          </cell>
        </row>
        <row r="196">
          <cell r="B196" t="str">
            <v>77:01:0003061</v>
          </cell>
        </row>
        <row r="197">
          <cell r="B197" t="str">
            <v>77:01:0003063</v>
          </cell>
        </row>
        <row r="198">
          <cell r="B198" t="str">
            <v>77:01:0004001</v>
          </cell>
        </row>
        <row r="199">
          <cell r="B199" t="str">
            <v>77:01:0004002</v>
          </cell>
        </row>
        <row r="200">
          <cell r="B200" t="str">
            <v>77:01:0004003</v>
          </cell>
        </row>
        <row r="201">
          <cell r="B201" t="str">
            <v>77:01:0004004</v>
          </cell>
        </row>
        <row r="202">
          <cell r="B202" t="str">
            <v>77:01:0004005</v>
          </cell>
        </row>
        <row r="203">
          <cell r="B203" t="str">
            <v>77:01:0004006</v>
          </cell>
        </row>
        <row r="204">
          <cell r="B204" t="str">
            <v>77:01:0004007</v>
          </cell>
        </row>
        <row r="205">
          <cell r="B205" t="str">
            <v>77:01:0004008</v>
          </cell>
        </row>
        <row r="206">
          <cell r="B206" t="str">
            <v>77:01:0004009</v>
          </cell>
        </row>
        <row r="207">
          <cell r="B207" t="str">
            <v>77:01:0004010</v>
          </cell>
        </row>
        <row r="208">
          <cell r="B208" t="str">
            <v>77:01:0004011</v>
          </cell>
        </row>
        <row r="209">
          <cell r="B209" t="str">
            <v>77:01:0004012</v>
          </cell>
        </row>
        <row r="210">
          <cell r="B210" t="str">
            <v>77:01:0004013</v>
          </cell>
        </row>
        <row r="211">
          <cell r="B211" t="str">
            <v>77:01:0004014</v>
          </cell>
        </row>
        <row r="212">
          <cell r="B212" t="str">
            <v>77:01:0004015</v>
          </cell>
        </row>
        <row r="213">
          <cell r="B213" t="str">
            <v>77:01:0004016</v>
          </cell>
        </row>
        <row r="214">
          <cell r="B214" t="str">
            <v>77:01:0004017</v>
          </cell>
        </row>
        <row r="215">
          <cell r="B215" t="str">
            <v>77:01:0004018</v>
          </cell>
        </row>
        <row r="216">
          <cell r="B216" t="str">
            <v>77:01:0004019</v>
          </cell>
        </row>
        <row r="217">
          <cell r="B217" t="str">
            <v>77:01:0004020</v>
          </cell>
        </row>
        <row r="218">
          <cell r="B218" t="str">
            <v>77:01:0004021</v>
          </cell>
        </row>
        <row r="219">
          <cell r="B219" t="str">
            <v>77:01:0004022</v>
          </cell>
        </row>
        <row r="220">
          <cell r="B220" t="str">
            <v>77:01:0004023</v>
          </cell>
        </row>
        <row r="221">
          <cell r="B221" t="str">
            <v>77:01:0004024</v>
          </cell>
        </row>
        <row r="222">
          <cell r="B222" t="str">
            <v>77:01:0004025</v>
          </cell>
        </row>
        <row r="223">
          <cell r="B223" t="str">
            <v>77:01:0004026</v>
          </cell>
        </row>
        <row r="224">
          <cell r="B224" t="str">
            <v>77:01:0004027</v>
          </cell>
        </row>
        <row r="225">
          <cell r="B225" t="str">
            <v>77:01:0004028</v>
          </cell>
        </row>
        <row r="226">
          <cell r="B226" t="str">
            <v>77:01:0004029</v>
          </cell>
        </row>
        <row r="227">
          <cell r="B227" t="str">
            <v>77:01:0004030</v>
          </cell>
        </row>
        <row r="228">
          <cell r="B228" t="str">
            <v>77:01:0004031</v>
          </cell>
        </row>
        <row r="229">
          <cell r="B229" t="str">
            <v>77:01:0004032</v>
          </cell>
        </row>
        <row r="230">
          <cell r="B230" t="str">
            <v>77:01:0004033</v>
          </cell>
        </row>
        <row r="231">
          <cell r="B231" t="str">
            <v>77:01:0004034</v>
          </cell>
        </row>
        <row r="232">
          <cell r="B232" t="str">
            <v>77:01:0004035</v>
          </cell>
        </row>
        <row r="233">
          <cell r="B233" t="str">
            <v>77:01:0004036</v>
          </cell>
        </row>
        <row r="234">
          <cell r="B234" t="str">
            <v>77:01:0004037</v>
          </cell>
        </row>
        <row r="235">
          <cell r="B235" t="str">
            <v>77:01:0004038</v>
          </cell>
        </row>
        <row r="236">
          <cell r="B236" t="str">
            <v>77:01:0004039</v>
          </cell>
        </row>
        <row r="237">
          <cell r="B237" t="str">
            <v>77:01:0004040</v>
          </cell>
        </row>
        <row r="238">
          <cell r="B238" t="str">
            <v>77:01:0004041</v>
          </cell>
        </row>
        <row r="239">
          <cell r="B239" t="str">
            <v>77:01:0004042</v>
          </cell>
        </row>
        <row r="240">
          <cell r="B240" t="str">
            <v>77:01:0004043</v>
          </cell>
        </row>
        <row r="241">
          <cell r="B241" t="str">
            <v>77:01:0004044</v>
          </cell>
        </row>
        <row r="242">
          <cell r="B242" t="str">
            <v>77:01:0004045</v>
          </cell>
        </row>
        <row r="243">
          <cell r="B243" t="str">
            <v>77:01:0004046</v>
          </cell>
        </row>
        <row r="244">
          <cell r="B244" t="str">
            <v>77:01:0004047</v>
          </cell>
        </row>
        <row r="245">
          <cell r="B245" t="str">
            <v>77:01:0005001</v>
          </cell>
        </row>
        <row r="246">
          <cell r="B246" t="str">
            <v>77:01:0005002</v>
          </cell>
        </row>
        <row r="247">
          <cell r="B247" t="str">
            <v>77:01:0005003</v>
          </cell>
        </row>
        <row r="248">
          <cell r="B248" t="str">
            <v>77:01:0005004</v>
          </cell>
        </row>
        <row r="249">
          <cell r="B249" t="str">
            <v>77:01:0005005</v>
          </cell>
        </row>
        <row r="250">
          <cell r="B250" t="str">
            <v>77:01:0005006</v>
          </cell>
        </row>
        <row r="251">
          <cell r="B251" t="str">
            <v>77:01:0005007</v>
          </cell>
        </row>
        <row r="252">
          <cell r="B252" t="str">
            <v>77:01:0005008</v>
          </cell>
        </row>
        <row r="253">
          <cell r="B253" t="str">
            <v>77:01:0005009</v>
          </cell>
        </row>
        <row r="254">
          <cell r="B254" t="str">
            <v>77:01:0005010</v>
          </cell>
        </row>
        <row r="255">
          <cell r="B255" t="str">
            <v>77:01:0005011</v>
          </cell>
        </row>
        <row r="256">
          <cell r="B256" t="str">
            <v>77:01:0005012</v>
          </cell>
        </row>
        <row r="257">
          <cell r="B257" t="str">
            <v>77:01:0005013</v>
          </cell>
        </row>
        <row r="258">
          <cell r="B258" t="str">
            <v>77:01:0005014</v>
          </cell>
        </row>
        <row r="259">
          <cell r="B259" t="str">
            <v>77:01:0005015</v>
          </cell>
        </row>
        <row r="260">
          <cell r="B260" t="str">
            <v>77:01:0005016</v>
          </cell>
        </row>
        <row r="261">
          <cell r="B261" t="str">
            <v>77:01:0005017</v>
          </cell>
        </row>
        <row r="262">
          <cell r="B262" t="str">
            <v>77:01:0005018</v>
          </cell>
        </row>
        <row r="263">
          <cell r="B263" t="str">
            <v>77:01:0005019</v>
          </cell>
        </row>
        <row r="264">
          <cell r="B264" t="str">
            <v>77:01:0005020</v>
          </cell>
        </row>
        <row r="265">
          <cell r="B265" t="str">
            <v>77:01:0005021</v>
          </cell>
        </row>
        <row r="266">
          <cell r="B266" t="str">
            <v>77:01:0006001</v>
          </cell>
        </row>
        <row r="267">
          <cell r="B267" t="str">
            <v>77:01:0006003</v>
          </cell>
        </row>
        <row r="268">
          <cell r="B268" t="str">
            <v>77:01:0006004</v>
          </cell>
        </row>
        <row r="269">
          <cell r="B269" t="str">
            <v>77:01:0006005</v>
          </cell>
        </row>
        <row r="270">
          <cell r="B270" t="str">
            <v>77:01:0006006</v>
          </cell>
        </row>
        <row r="271">
          <cell r="B271" t="str">
            <v>77:01:0006007</v>
          </cell>
        </row>
        <row r="272">
          <cell r="B272" t="str">
            <v>77:01:0006008</v>
          </cell>
        </row>
        <row r="273">
          <cell r="B273" t="str">
            <v>77:01:0006009</v>
          </cell>
        </row>
        <row r="274">
          <cell r="B274" t="str">
            <v>77:01:0006010</v>
          </cell>
        </row>
        <row r="275">
          <cell r="B275" t="str">
            <v>77:01:0006011</v>
          </cell>
        </row>
        <row r="276">
          <cell r="B276" t="str">
            <v>77:01:0006012</v>
          </cell>
        </row>
        <row r="277">
          <cell r="B277" t="str">
            <v>77:01:0006013</v>
          </cell>
        </row>
        <row r="278">
          <cell r="B278" t="str">
            <v>77:01:0006014</v>
          </cell>
        </row>
        <row r="279">
          <cell r="B279" t="str">
            <v>77:01:0006015</v>
          </cell>
        </row>
        <row r="280">
          <cell r="B280" t="str">
            <v>77:01:0006016</v>
          </cell>
        </row>
        <row r="281">
          <cell r="B281" t="str">
            <v>77:01:0006017</v>
          </cell>
        </row>
        <row r="282">
          <cell r="B282" t="str">
            <v>77:01:0006018</v>
          </cell>
        </row>
        <row r="283">
          <cell r="B283" t="str">
            <v>77:01:0006019</v>
          </cell>
        </row>
        <row r="284">
          <cell r="B284" t="str">
            <v>77:01:0006020</v>
          </cell>
        </row>
        <row r="285">
          <cell r="B285" t="str">
            <v>77:01:0006021</v>
          </cell>
        </row>
        <row r="286">
          <cell r="B286" t="str">
            <v>77:01:0006022</v>
          </cell>
        </row>
        <row r="287">
          <cell r="B287" t="str">
            <v>77:01:0006023</v>
          </cell>
        </row>
        <row r="288">
          <cell r="B288" t="str">
            <v>77:01:0006024</v>
          </cell>
        </row>
        <row r="289">
          <cell r="B289" t="str">
            <v>77:01:0006025</v>
          </cell>
        </row>
        <row r="290">
          <cell r="B290" t="str">
            <v>77:01:0006026</v>
          </cell>
        </row>
        <row r="291">
          <cell r="B291" t="str">
            <v>77:01:0006027</v>
          </cell>
        </row>
        <row r="292">
          <cell r="B292" t="str">
            <v>77:01:0006028</v>
          </cell>
        </row>
        <row r="293">
          <cell r="B293" t="str">
            <v>77:01:0006029</v>
          </cell>
        </row>
        <row r="294">
          <cell r="B294" t="str">
            <v>77:01:0006030</v>
          </cell>
        </row>
        <row r="295">
          <cell r="B295" t="str">
            <v>77:01:0006031</v>
          </cell>
        </row>
        <row r="296">
          <cell r="B296" t="str">
            <v>77:01:0006032</v>
          </cell>
        </row>
        <row r="297">
          <cell r="B297" t="str">
            <v>77:01:0006033</v>
          </cell>
        </row>
        <row r="298">
          <cell r="B298" t="str">
            <v>77:01:0006034</v>
          </cell>
        </row>
        <row r="299">
          <cell r="B299" t="str">
            <v>77:01:0006035</v>
          </cell>
        </row>
        <row r="300">
          <cell r="B300" t="str">
            <v>77:01:0006036</v>
          </cell>
        </row>
        <row r="301">
          <cell r="B301" t="str">
            <v>77:01:0006037</v>
          </cell>
        </row>
        <row r="302">
          <cell r="B302" t="str">
            <v>77:01:0006038</v>
          </cell>
        </row>
        <row r="303">
          <cell r="B303" t="str">
            <v>77:01:0006039</v>
          </cell>
        </row>
        <row r="304">
          <cell r="B304" t="str">
            <v>77:01:0006040</v>
          </cell>
        </row>
        <row r="305">
          <cell r="B305" t="str">
            <v>77:01:0006041</v>
          </cell>
        </row>
        <row r="306">
          <cell r="B306" t="str">
            <v>77:01:0006042</v>
          </cell>
        </row>
        <row r="307">
          <cell r="B307" t="str">
            <v>77:01:0006043</v>
          </cell>
        </row>
        <row r="308">
          <cell r="B308" t="str">
            <v>77:01:0006044</v>
          </cell>
        </row>
        <row r="309">
          <cell r="B309" t="str">
            <v>77:02:0001001</v>
          </cell>
        </row>
        <row r="310">
          <cell r="B310" t="str">
            <v>77:02:0001002</v>
          </cell>
        </row>
        <row r="311">
          <cell r="B311" t="str">
            <v>77:02:0001003</v>
          </cell>
        </row>
        <row r="312">
          <cell r="B312" t="str">
            <v>77:02:0001004</v>
          </cell>
        </row>
        <row r="313">
          <cell r="B313" t="str">
            <v>77:02:0001005</v>
          </cell>
        </row>
        <row r="314">
          <cell r="B314" t="str">
            <v>77:02:0001006</v>
          </cell>
        </row>
        <row r="315">
          <cell r="B315" t="str">
            <v>77:02:0001007</v>
          </cell>
        </row>
        <row r="316">
          <cell r="B316" t="str">
            <v>77:02:0001008</v>
          </cell>
        </row>
        <row r="317">
          <cell r="B317" t="str">
            <v>77:02:0001009</v>
          </cell>
        </row>
        <row r="318">
          <cell r="B318" t="str">
            <v>77:02:0001010</v>
          </cell>
        </row>
        <row r="319">
          <cell r="B319" t="str">
            <v>77:02:0001011</v>
          </cell>
        </row>
        <row r="320">
          <cell r="B320" t="str">
            <v>77:02:0001012</v>
          </cell>
        </row>
        <row r="321">
          <cell r="B321" t="str">
            <v>77:02:0001013</v>
          </cell>
        </row>
        <row r="322">
          <cell r="B322" t="str">
            <v>77:02:0001014</v>
          </cell>
        </row>
        <row r="323">
          <cell r="B323" t="str">
            <v>77:02:0001015</v>
          </cell>
        </row>
        <row r="324">
          <cell r="B324" t="str">
            <v>77:02:0001016</v>
          </cell>
        </row>
        <row r="325">
          <cell r="B325" t="str">
            <v>77:02:0001017</v>
          </cell>
        </row>
        <row r="326">
          <cell r="B326" t="str">
            <v>77:02:0001018</v>
          </cell>
        </row>
        <row r="327">
          <cell r="B327" t="str">
            <v>77:02:0001019</v>
          </cell>
        </row>
        <row r="328">
          <cell r="B328" t="str">
            <v>77:02:0002001</v>
          </cell>
        </row>
        <row r="329">
          <cell r="B329" t="str">
            <v>77:02:0002002</v>
          </cell>
        </row>
        <row r="330">
          <cell r="B330" t="str">
            <v>77:02:0002003</v>
          </cell>
        </row>
        <row r="331">
          <cell r="B331" t="str">
            <v>77:02:0002004</v>
          </cell>
        </row>
        <row r="332">
          <cell r="B332" t="str">
            <v>77:02:0002005</v>
          </cell>
        </row>
        <row r="333">
          <cell r="B333" t="str">
            <v>77:02:0002006</v>
          </cell>
        </row>
        <row r="334">
          <cell r="B334" t="str">
            <v>77:02:0002007</v>
          </cell>
        </row>
        <row r="335">
          <cell r="B335" t="str">
            <v>77:02:0002008</v>
          </cell>
        </row>
        <row r="336">
          <cell r="B336" t="str">
            <v>77:02:0002009</v>
          </cell>
        </row>
        <row r="337">
          <cell r="B337" t="str">
            <v>77:02:0002010</v>
          </cell>
        </row>
        <row r="338">
          <cell r="B338" t="str">
            <v>77:02:0002011</v>
          </cell>
        </row>
        <row r="339">
          <cell r="B339" t="str">
            <v>77:02:0002012</v>
          </cell>
        </row>
        <row r="340">
          <cell r="B340" t="str">
            <v>77:02:0002013</v>
          </cell>
        </row>
        <row r="341">
          <cell r="B341" t="str">
            <v>77:02:0002014</v>
          </cell>
        </row>
        <row r="342">
          <cell r="B342" t="str">
            <v>77:02:0003001</v>
          </cell>
        </row>
        <row r="343">
          <cell r="B343" t="str">
            <v>77:02:0003002</v>
          </cell>
        </row>
        <row r="344">
          <cell r="B344" t="str">
            <v>77:02:0003003</v>
          </cell>
        </row>
        <row r="345">
          <cell r="B345" t="str">
            <v>77:02:0003004</v>
          </cell>
        </row>
        <row r="346">
          <cell r="B346" t="str">
            <v>77:02:0003005</v>
          </cell>
        </row>
        <row r="347">
          <cell r="B347" t="str">
            <v>77:02:0003006</v>
          </cell>
        </row>
        <row r="348">
          <cell r="B348" t="str">
            <v>77:02:0004001</v>
          </cell>
        </row>
        <row r="349">
          <cell r="B349" t="str">
            <v>77:02:0004002</v>
          </cell>
        </row>
        <row r="350">
          <cell r="B350" t="str">
            <v>77:02:0004003</v>
          </cell>
        </row>
        <row r="351">
          <cell r="B351" t="str">
            <v>77:02:0004004</v>
          </cell>
        </row>
        <row r="352">
          <cell r="B352" t="str">
            <v>77:02:0004005</v>
          </cell>
        </row>
        <row r="353">
          <cell r="B353" t="str">
            <v>77:02:0004006</v>
          </cell>
        </row>
        <row r="354">
          <cell r="B354" t="str">
            <v>77:02:0004007</v>
          </cell>
        </row>
        <row r="355">
          <cell r="B355" t="str">
            <v>77:02:0004008</v>
          </cell>
        </row>
        <row r="356">
          <cell r="B356" t="str">
            <v>77:02:0004009</v>
          </cell>
        </row>
        <row r="357">
          <cell r="B357" t="str">
            <v>77:02:0005001</v>
          </cell>
        </row>
        <row r="358">
          <cell r="B358" t="str">
            <v>77:02:0005002</v>
          </cell>
        </row>
        <row r="359">
          <cell r="B359" t="str">
            <v>77:02:0005003</v>
          </cell>
        </row>
        <row r="360">
          <cell r="B360" t="str">
            <v>77:02:0005004</v>
          </cell>
        </row>
        <row r="361">
          <cell r="B361" t="str">
            <v>77:02:0005005</v>
          </cell>
        </row>
        <row r="362">
          <cell r="B362" t="str">
            <v>77:02:0005006</v>
          </cell>
        </row>
        <row r="363">
          <cell r="B363" t="str">
            <v>77:02:0006001</v>
          </cell>
        </row>
        <row r="364">
          <cell r="B364" t="str">
            <v>77:02:0006002</v>
          </cell>
        </row>
        <row r="365">
          <cell r="B365" t="str">
            <v>77:02:0006003</v>
          </cell>
        </row>
        <row r="366">
          <cell r="B366" t="str">
            <v>77:02:0006004</v>
          </cell>
        </row>
        <row r="367">
          <cell r="B367" t="str">
            <v>77:02:0006005</v>
          </cell>
        </row>
        <row r="368">
          <cell r="B368" t="str">
            <v>77:02:0006006</v>
          </cell>
        </row>
        <row r="369">
          <cell r="B369" t="str">
            <v>77:02:0007001</v>
          </cell>
        </row>
        <row r="370">
          <cell r="B370" t="str">
            <v>77:02:0007002</v>
          </cell>
        </row>
        <row r="371">
          <cell r="B371" t="str">
            <v>77:02:0007003</v>
          </cell>
        </row>
        <row r="372">
          <cell r="B372" t="str">
            <v>77:02:0007004</v>
          </cell>
        </row>
        <row r="373">
          <cell r="B373" t="str">
            <v>77:02:0007005</v>
          </cell>
        </row>
        <row r="374">
          <cell r="B374" t="str">
            <v>77:02:0008001</v>
          </cell>
        </row>
        <row r="375">
          <cell r="B375" t="str">
            <v>77:02:0008002</v>
          </cell>
        </row>
        <row r="376">
          <cell r="B376" t="str">
            <v>77:02:0008003</v>
          </cell>
        </row>
        <row r="377">
          <cell r="B377" t="str">
            <v>77:02:0008004</v>
          </cell>
        </row>
        <row r="378">
          <cell r="B378" t="str">
            <v>77:02:0008005</v>
          </cell>
        </row>
        <row r="379">
          <cell r="B379" t="str">
            <v>77:02:0008006</v>
          </cell>
        </row>
        <row r="380">
          <cell r="B380" t="str">
            <v>77:02:0008007</v>
          </cell>
        </row>
        <row r="381">
          <cell r="B381" t="str">
            <v>77:02:0008008</v>
          </cell>
        </row>
        <row r="382">
          <cell r="B382" t="str">
            <v>77:02:0008009</v>
          </cell>
        </row>
        <row r="383">
          <cell r="B383" t="str">
            <v>77:02:0009001</v>
          </cell>
        </row>
        <row r="384">
          <cell r="B384" t="str">
            <v>77:02:0009002</v>
          </cell>
        </row>
        <row r="385">
          <cell r="B385" t="str">
            <v>77:02:0009003</v>
          </cell>
        </row>
        <row r="386">
          <cell r="B386" t="str">
            <v>77:02:0009004</v>
          </cell>
        </row>
        <row r="387">
          <cell r="B387" t="str">
            <v>77:02:0009005</v>
          </cell>
        </row>
        <row r="388">
          <cell r="B388" t="str">
            <v>77:02:0010001</v>
          </cell>
        </row>
        <row r="389">
          <cell r="B389" t="str">
            <v>77:02:0010002</v>
          </cell>
        </row>
        <row r="390">
          <cell r="B390" t="str">
            <v>77:02:0010003</v>
          </cell>
        </row>
        <row r="391">
          <cell r="B391" t="str">
            <v>77:02:0010004</v>
          </cell>
        </row>
        <row r="392">
          <cell r="B392" t="str">
            <v>77:02:0010005</v>
          </cell>
        </row>
        <row r="393">
          <cell r="B393" t="str">
            <v>77:02:0010006</v>
          </cell>
        </row>
        <row r="394">
          <cell r="B394" t="str">
            <v>77:02:0010007</v>
          </cell>
        </row>
        <row r="395">
          <cell r="B395" t="str">
            <v>77:02:0010008</v>
          </cell>
        </row>
        <row r="396">
          <cell r="B396" t="str">
            <v>77:02:0010009</v>
          </cell>
        </row>
        <row r="397">
          <cell r="B397" t="str">
            <v>77:02:0010010</v>
          </cell>
        </row>
        <row r="398">
          <cell r="B398" t="str">
            <v>77:02:0010011</v>
          </cell>
        </row>
        <row r="399">
          <cell r="B399" t="str">
            <v>77:02:0010012</v>
          </cell>
        </row>
        <row r="400">
          <cell r="B400" t="str">
            <v>77:02:0010013</v>
          </cell>
        </row>
        <row r="401">
          <cell r="B401" t="str">
            <v>77:02:0010014</v>
          </cell>
        </row>
        <row r="402">
          <cell r="B402" t="str">
            <v>77:02:0010015</v>
          </cell>
        </row>
        <row r="403">
          <cell r="B403" t="str">
            <v>77:02:0010016</v>
          </cell>
        </row>
        <row r="404">
          <cell r="B404" t="str">
            <v>77:02:0010017</v>
          </cell>
        </row>
        <row r="405">
          <cell r="B405" t="str">
            <v>77:02:0011001</v>
          </cell>
        </row>
        <row r="406">
          <cell r="B406" t="str">
            <v>77:02:0011002</v>
          </cell>
        </row>
        <row r="407">
          <cell r="B407" t="str">
            <v>77:02:0011003</v>
          </cell>
        </row>
        <row r="408">
          <cell r="B408" t="str">
            <v>77:02:0011004</v>
          </cell>
        </row>
        <row r="409">
          <cell r="B409" t="str">
            <v>77:02:0011005</v>
          </cell>
        </row>
        <row r="410">
          <cell r="B410" t="str">
            <v>77:02:0011006</v>
          </cell>
        </row>
        <row r="411">
          <cell r="B411" t="str">
            <v>77:02:0012001</v>
          </cell>
        </row>
        <row r="412">
          <cell r="B412" t="str">
            <v>77:02:0012002</v>
          </cell>
        </row>
        <row r="413">
          <cell r="B413" t="str">
            <v>77:02:0013001</v>
          </cell>
        </row>
        <row r="414">
          <cell r="B414" t="str">
            <v>77:02:0013002</v>
          </cell>
        </row>
        <row r="415">
          <cell r="B415" t="str">
            <v>77:02:0013003</v>
          </cell>
        </row>
        <row r="416">
          <cell r="B416" t="str">
            <v>77:02:0013004</v>
          </cell>
        </row>
        <row r="417">
          <cell r="B417" t="str">
            <v>77:02:0013005</v>
          </cell>
        </row>
        <row r="418">
          <cell r="B418" t="str">
            <v>77:02:0013006</v>
          </cell>
        </row>
        <row r="419">
          <cell r="B419" t="str">
            <v>77:02:0013007</v>
          </cell>
        </row>
        <row r="420">
          <cell r="B420" t="str">
            <v>77:02:0013008</v>
          </cell>
        </row>
        <row r="421">
          <cell r="B421" t="str">
            <v>77:02:0013009</v>
          </cell>
        </row>
        <row r="422">
          <cell r="B422" t="str">
            <v>77:02:0013010</v>
          </cell>
        </row>
        <row r="423">
          <cell r="B423" t="str">
            <v>77:02:0013011</v>
          </cell>
        </row>
        <row r="424">
          <cell r="B424" t="str">
            <v>77:02:0013012</v>
          </cell>
        </row>
        <row r="425">
          <cell r="B425" t="str">
            <v>77:02:0014001</v>
          </cell>
        </row>
        <row r="426">
          <cell r="B426" t="str">
            <v>77:02:0014002</v>
          </cell>
        </row>
        <row r="427">
          <cell r="B427" t="str">
            <v>77:02:0014003</v>
          </cell>
        </row>
        <row r="428">
          <cell r="B428" t="str">
            <v>77:02:0014004</v>
          </cell>
        </row>
        <row r="429">
          <cell r="B429" t="str">
            <v>77:02:0014005</v>
          </cell>
        </row>
        <row r="430">
          <cell r="B430" t="str">
            <v>77:02:0014006</v>
          </cell>
        </row>
        <row r="431">
          <cell r="B431" t="str">
            <v>77:02:0014007</v>
          </cell>
        </row>
        <row r="432">
          <cell r="B432" t="str">
            <v>77:02:0014008</v>
          </cell>
        </row>
        <row r="433">
          <cell r="B433" t="str">
            <v>77:02:0014009</v>
          </cell>
        </row>
        <row r="434">
          <cell r="B434" t="str">
            <v>77:02:0014010</v>
          </cell>
        </row>
        <row r="435">
          <cell r="B435" t="str">
            <v>77:02:0014011</v>
          </cell>
        </row>
        <row r="436">
          <cell r="B436" t="str">
            <v>77:02:0014012</v>
          </cell>
        </row>
        <row r="437">
          <cell r="B437" t="str">
            <v>77:02:0015001</v>
          </cell>
        </row>
        <row r="438">
          <cell r="B438" t="str">
            <v>77:02:0015002</v>
          </cell>
        </row>
        <row r="439">
          <cell r="B439" t="str">
            <v>77:02:0015003</v>
          </cell>
        </row>
        <row r="440">
          <cell r="B440" t="str">
            <v>77:02:0015004</v>
          </cell>
        </row>
        <row r="441">
          <cell r="B441" t="str">
            <v>77:02:0015005</v>
          </cell>
        </row>
        <row r="442">
          <cell r="B442" t="str">
            <v>77:02:0015006</v>
          </cell>
        </row>
        <row r="443">
          <cell r="B443" t="str">
            <v>77:02:0015007</v>
          </cell>
        </row>
        <row r="444">
          <cell r="B444" t="str">
            <v>77:02:0015008</v>
          </cell>
        </row>
        <row r="445">
          <cell r="B445" t="str">
            <v>77:02:0015009</v>
          </cell>
        </row>
        <row r="446">
          <cell r="B446" t="str">
            <v>77:02:0015010</v>
          </cell>
        </row>
        <row r="447">
          <cell r="B447" t="str">
            <v>77:02:0015011</v>
          </cell>
        </row>
        <row r="448">
          <cell r="B448" t="str">
            <v>77:02:0015012</v>
          </cell>
        </row>
        <row r="449">
          <cell r="B449" t="str">
            <v>77:02:0015013</v>
          </cell>
        </row>
        <row r="450">
          <cell r="B450" t="str">
            <v>77:02:0016001</v>
          </cell>
        </row>
        <row r="451">
          <cell r="B451" t="str">
            <v>77:02:0016002</v>
          </cell>
        </row>
        <row r="452">
          <cell r="B452" t="str">
            <v>77:02:0016003</v>
          </cell>
        </row>
        <row r="453">
          <cell r="B453" t="str">
            <v>77:02:0016004</v>
          </cell>
        </row>
        <row r="454">
          <cell r="B454" t="str">
            <v>77:02:0016005</v>
          </cell>
        </row>
        <row r="455">
          <cell r="B455" t="str">
            <v>77:02:0016006</v>
          </cell>
        </row>
        <row r="456">
          <cell r="B456" t="str">
            <v>77:02:0016007</v>
          </cell>
        </row>
        <row r="457">
          <cell r="B457" t="str">
            <v>77:02:0016008</v>
          </cell>
        </row>
        <row r="458">
          <cell r="B458" t="str">
            <v>77:02:0016009</v>
          </cell>
        </row>
        <row r="459">
          <cell r="B459" t="str">
            <v>77:02:0016010</v>
          </cell>
        </row>
        <row r="460">
          <cell r="B460" t="str">
            <v>77:02:0017001</v>
          </cell>
        </row>
        <row r="461">
          <cell r="B461" t="str">
            <v>77:02:0017002</v>
          </cell>
        </row>
        <row r="462">
          <cell r="B462" t="str">
            <v>77:02:0017003</v>
          </cell>
        </row>
        <row r="463">
          <cell r="B463" t="str">
            <v>77:02:0017004</v>
          </cell>
        </row>
        <row r="464">
          <cell r="B464" t="str">
            <v>77:02:0017005</v>
          </cell>
        </row>
        <row r="465">
          <cell r="B465" t="str">
            <v>77:02:0017006</v>
          </cell>
        </row>
        <row r="466">
          <cell r="B466" t="str">
            <v>77:02:0018001</v>
          </cell>
        </row>
        <row r="467">
          <cell r="B467" t="str">
            <v>77:02:0018002</v>
          </cell>
        </row>
        <row r="468">
          <cell r="B468" t="str">
            <v>77:02:0018003</v>
          </cell>
        </row>
        <row r="469">
          <cell r="B469" t="str">
            <v>77:02:0018006</v>
          </cell>
        </row>
        <row r="470">
          <cell r="B470" t="str">
            <v>77:02:0018007</v>
          </cell>
        </row>
        <row r="471">
          <cell r="B471" t="str">
            <v>77:02:0018008</v>
          </cell>
        </row>
        <row r="472">
          <cell r="B472" t="str">
            <v>77:02:0018009</v>
          </cell>
        </row>
        <row r="473">
          <cell r="B473" t="str">
            <v>77:02:0018010</v>
          </cell>
        </row>
        <row r="474">
          <cell r="B474" t="str">
            <v>77:02:0018011</v>
          </cell>
        </row>
        <row r="475">
          <cell r="B475" t="str">
            <v>77:02:0018012</v>
          </cell>
        </row>
        <row r="476">
          <cell r="B476" t="str">
            <v>77:02:0019001</v>
          </cell>
        </row>
        <row r="477">
          <cell r="B477" t="str">
            <v>77:02:0019002</v>
          </cell>
        </row>
        <row r="478">
          <cell r="B478" t="str">
            <v>77:02:0019003</v>
          </cell>
        </row>
        <row r="479">
          <cell r="B479" t="str">
            <v>77:02:0019004</v>
          </cell>
        </row>
        <row r="480">
          <cell r="B480" t="str">
            <v>77:02:0019005</v>
          </cell>
        </row>
        <row r="481">
          <cell r="B481" t="str">
            <v>77:02:0019006</v>
          </cell>
        </row>
        <row r="482">
          <cell r="B482" t="str">
            <v>77:02:0019007</v>
          </cell>
        </row>
        <row r="483">
          <cell r="B483" t="str">
            <v>77:02:0019008</v>
          </cell>
        </row>
        <row r="484">
          <cell r="B484" t="str">
            <v>77:02:0019009</v>
          </cell>
        </row>
        <row r="485">
          <cell r="B485" t="str">
            <v>77:02:0019010</v>
          </cell>
        </row>
        <row r="486">
          <cell r="B486" t="str">
            <v>77:02:0019011</v>
          </cell>
        </row>
        <row r="487">
          <cell r="B487" t="str">
            <v>77:02:0019012</v>
          </cell>
        </row>
        <row r="488">
          <cell r="B488" t="str">
            <v>77:02:0020001</v>
          </cell>
        </row>
        <row r="489">
          <cell r="B489" t="str">
            <v>77:02:0020002</v>
          </cell>
        </row>
        <row r="490">
          <cell r="B490" t="str">
            <v>77:02:0020003</v>
          </cell>
        </row>
        <row r="491">
          <cell r="B491" t="str">
            <v>77:02:0020004</v>
          </cell>
        </row>
        <row r="492">
          <cell r="B492" t="str">
            <v>77:02:0020006</v>
          </cell>
        </row>
        <row r="493">
          <cell r="B493" t="str">
            <v>77:02:0020007</v>
          </cell>
        </row>
        <row r="494">
          <cell r="B494" t="str">
            <v>77:02:0020008</v>
          </cell>
        </row>
        <row r="495">
          <cell r="B495" t="str">
            <v>77:02:0020009</v>
          </cell>
        </row>
        <row r="496">
          <cell r="B496" t="str">
            <v>77:02:0021001</v>
          </cell>
        </row>
        <row r="497">
          <cell r="B497" t="str">
            <v>77:02:0021002</v>
          </cell>
        </row>
        <row r="498">
          <cell r="B498" t="str">
            <v>77:02:0021003</v>
          </cell>
        </row>
        <row r="499">
          <cell r="B499" t="str">
            <v>77:02:0021004</v>
          </cell>
        </row>
        <row r="500">
          <cell r="B500" t="str">
            <v>77:02:0021005</v>
          </cell>
        </row>
        <row r="501">
          <cell r="B501" t="str">
            <v>77:02:0021006</v>
          </cell>
        </row>
        <row r="502">
          <cell r="B502" t="str">
            <v>77:02:0021007</v>
          </cell>
        </row>
        <row r="503">
          <cell r="B503" t="str">
            <v>77:02:0021008</v>
          </cell>
        </row>
        <row r="504">
          <cell r="B504" t="str">
            <v>77:02:0021009</v>
          </cell>
        </row>
        <row r="505">
          <cell r="B505" t="str">
            <v>77:02:0021010</v>
          </cell>
        </row>
        <row r="506">
          <cell r="B506" t="str">
            <v>77:02:0021011</v>
          </cell>
        </row>
        <row r="507">
          <cell r="B507" t="str">
            <v>77:02:0021012</v>
          </cell>
        </row>
        <row r="508">
          <cell r="B508" t="str">
            <v>77:02:0021013</v>
          </cell>
        </row>
        <row r="509">
          <cell r="B509" t="str">
            <v>77:02:0021014</v>
          </cell>
        </row>
        <row r="510">
          <cell r="B510" t="str">
            <v>77:02:0021015</v>
          </cell>
        </row>
        <row r="511">
          <cell r="B511" t="str">
            <v>77:02:0021016</v>
          </cell>
        </row>
        <row r="512">
          <cell r="B512" t="str">
            <v>77:02:0021017</v>
          </cell>
        </row>
        <row r="513">
          <cell r="B513" t="str">
            <v>77:02:0022001</v>
          </cell>
        </row>
        <row r="514">
          <cell r="B514" t="str">
            <v>77:02:0022002</v>
          </cell>
        </row>
        <row r="515">
          <cell r="B515" t="str">
            <v>77:02:0022003</v>
          </cell>
        </row>
        <row r="516">
          <cell r="B516" t="str">
            <v>77:02:0022004</v>
          </cell>
        </row>
        <row r="517">
          <cell r="B517" t="str">
            <v>77:02:0022005</v>
          </cell>
        </row>
        <row r="518">
          <cell r="B518" t="str">
            <v>77:02:0022006</v>
          </cell>
        </row>
        <row r="519">
          <cell r="B519" t="str">
            <v>77:02:0022007</v>
          </cell>
        </row>
        <row r="520">
          <cell r="B520" t="str">
            <v>77:02:0022008</v>
          </cell>
        </row>
        <row r="521">
          <cell r="B521" t="str">
            <v>77:02:0022009</v>
          </cell>
        </row>
        <row r="522">
          <cell r="B522" t="str">
            <v>77:02:0022010</v>
          </cell>
        </row>
        <row r="523">
          <cell r="B523" t="str">
            <v>77:02:0022011</v>
          </cell>
        </row>
        <row r="524">
          <cell r="B524" t="str">
            <v>77:02:0022012</v>
          </cell>
        </row>
        <row r="525">
          <cell r="B525" t="str">
            <v>77:02:0022013</v>
          </cell>
        </row>
        <row r="526">
          <cell r="B526" t="str">
            <v>77:02:0022014</v>
          </cell>
        </row>
        <row r="527">
          <cell r="B527" t="str">
            <v>77:02:0022015</v>
          </cell>
        </row>
        <row r="528">
          <cell r="B528" t="str">
            <v>77:02:0023001</v>
          </cell>
        </row>
        <row r="529">
          <cell r="B529" t="str">
            <v>77:02:0023002</v>
          </cell>
        </row>
        <row r="530">
          <cell r="B530" t="str">
            <v>77:02:0023003</v>
          </cell>
        </row>
        <row r="531">
          <cell r="B531" t="str">
            <v>77:02:0023004</v>
          </cell>
        </row>
        <row r="532">
          <cell r="B532" t="str">
            <v>77:02:0023005</v>
          </cell>
        </row>
        <row r="533">
          <cell r="B533" t="str">
            <v>77:02:0023006</v>
          </cell>
        </row>
        <row r="534">
          <cell r="B534" t="str">
            <v>77:02:0023007</v>
          </cell>
        </row>
        <row r="535">
          <cell r="B535" t="str">
            <v>77:02:0023008</v>
          </cell>
        </row>
        <row r="536">
          <cell r="B536" t="str">
            <v>77:02:0023009</v>
          </cell>
        </row>
        <row r="537">
          <cell r="B537" t="str">
            <v>77:02:0023010</v>
          </cell>
        </row>
        <row r="538">
          <cell r="B538" t="str">
            <v>77:02:0023011</v>
          </cell>
        </row>
        <row r="539">
          <cell r="B539" t="str">
            <v>77:02:0023012</v>
          </cell>
        </row>
        <row r="540">
          <cell r="B540" t="str">
            <v>77:02:0023013</v>
          </cell>
        </row>
        <row r="541">
          <cell r="B541" t="str">
            <v>77:02:0023014</v>
          </cell>
        </row>
        <row r="542">
          <cell r="B542" t="str">
            <v>77:02:0023015</v>
          </cell>
        </row>
        <row r="543">
          <cell r="B543" t="str">
            <v>77:02:0023016</v>
          </cell>
        </row>
        <row r="544">
          <cell r="B544" t="str">
            <v>77:02:0023017</v>
          </cell>
        </row>
        <row r="545">
          <cell r="B545" t="str">
            <v>77:02:0023018</v>
          </cell>
        </row>
        <row r="546">
          <cell r="B546" t="str">
            <v>77:02:0023019</v>
          </cell>
        </row>
        <row r="547">
          <cell r="B547" t="str">
            <v>77:02:0023020</v>
          </cell>
        </row>
        <row r="548">
          <cell r="B548" t="str">
            <v>77:02:0024001</v>
          </cell>
        </row>
        <row r="549">
          <cell r="B549" t="str">
            <v>77:02:0024002</v>
          </cell>
        </row>
        <row r="550">
          <cell r="B550" t="str">
            <v>77:02:0024003</v>
          </cell>
        </row>
        <row r="551">
          <cell r="B551" t="str">
            <v>77:02:0024004</v>
          </cell>
        </row>
        <row r="552">
          <cell r="B552" t="str">
            <v>77:02:0024005</v>
          </cell>
        </row>
        <row r="553">
          <cell r="B553" t="str">
            <v>77:02:0024006</v>
          </cell>
        </row>
        <row r="554">
          <cell r="B554" t="str">
            <v>77:02:0024007</v>
          </cell>
        </row>
        <row r="555">
          <cell r="B555" t="str">
            <v>77:02:0024008</v>
          </cell>
        </row>
        <row r="556">
          <cell r="B556" t="str">
            <v>77:02:0024009</v>
          </cell>
        </row>
        <row r="557">
          <cell r="B557" t="str">
            <v>77:02:0024010</v>
          </cell>
        </row>
        <row r="558">
          <cell r="B558" t="str">
            <v>77:02:0024011</v>
          </cell>
        </row>
        <row r="559">
          <cell r="B559" t="str">
            <v>77:02:0024012</v>
          </cell>
        </row>
        <row r="560">
          <cell r="B560" t="str">
            <v>77:02:0024013</v>
          </cell>
        </row>
        <row r="561">
          <cell r="B561" t="str">
            <v>77:02:0024014</v>
          </cell>
        </row>
        <row r="562">
          <cell r="B562" t="str">
            <v>77:02:0024015</v>
          </cell>
        </row>
        <row r="563">
          <cell r="B563" t="str">
            <v>77:02:0024016</v>
          </cell>
        </row>
        <row r="564">
          <cell r="B564" t="str">
            <v>77:02:0024017</v>
          </cell>
        </row>
        <row r="565">
          <cell r="B565" t="str">
            <v>77:02:0024018</v>
          </cell>
        </row>
        <row r="566">
          <cell r="B566" t="str">
            <v>77:02:0024019</v>
          </cell>
        </row>
        <row r="567">
          <cell r="B567" t="str">
            <v>77:02:0024020</v>
          </cell>
        </row>
        <row r="568">
          <cell r="B568" t="str">
            <v>77:02:0024021</v>
          </cell>
        </row>
        <row r="569">
          <cell r="B569" t="str">
            <v>77:02:0024022</v>
          </cell>
        </row>
        <row r="570">
          <cell r="B570" t="str">
            <v>77:02:0024023</v>
          </cell>
        </row>
        <row r="571">
          <cell r="B571" t="str">
            <v>77:02:0024024</v>
          </cell>
        </row>
        <row r="572">
          <cell r="B572" t="str">
            <v>77:02:0024025</v>
          </cell>
        </row>
        <row r="573">
          <cell r="B573" t="str">
            <v>77:02:0024026</v>
          </cell>
        </row>
        <row r="574">
          <cell r="B574" t="str">
            <v>77:02:0024027</v>
          </cell>
        </row>
        <row r="575">
          <cell r="B575" t="str">
            <v>77:02:0024028</v>
          </cell>
        </row>
        <row r="576">
          <cell r="B576" t="str">
            <v>77:02:0024029</v>
          </cell>
        </row>
        <row r="577">
          <cell r="B577" t="str">
            <v>77:02:0024030</v>
          </cell>
        </row>
        <row r="578">
          <cell r="B578" t="str">
            <v>77:02:0024031</v>
          </cell>
        </row>
        <row r="579">
          <cell r="B579" t="str">
            <v>77:02:0025001</v>
          </cell>
        </row>
        <row r="580">
          <cell r="B580" t="str">
            <v>77:02:0025002</v>
          </cell>
        </row>
        <row r="581">
          <cell r="B581" t="str">
            <v>77:02:0025005</v>
          </cell>
        </row>
        <row r="582">
          <cell r="B582" t="str">
            <v>77:02:0025008</v>
          </cell>
        </row>
        <row r="583">
          <cell r="B583" t="str">
            <v>77:02:0025009</v>
          </cell>
        </row>
        <row r="584">
          <cell r="B584" t="str">
            <v>77:02:0025010</v>
          </cell>
        </row>
        <row r="585">
          <cell r="B585" t="str">
            <v>77:02:0025011</v>
          </cell>
        </row>
        <row r="586">
          <cell r="B586" t="str">
            <v>77:02:0025012</v>
          </cell>
        </row>
        <row r="587">
          <cell r="B587" t="str">
            <v>77:02:0025013</v>
          </cell>
        </row>
        <row r="588">
          <cell r="B588" t="str">
            <v>77:02:0025014</v>
          </cell>
        </row>
        <row r="589">
          <cell r="B589" t="str">
            <v>77:02:0025015</v>
          </cell>
        </row>
        <row r="590">
          <cell r="B590" t="str">
            <v>77:02:0025016</v>
          </cell>
        </row>
        <row r="591">
          <cell r="B591" t="str">
            <v>77:02:0025017</v>
          </cell>
        </row>
        <row r="592">
          <cell r="B592" t="str">
            <v>77:03:0001001</v>
          </cell>
        </row>
        <row r="593">
          <cell r="B593" t="str">
            <v>77:03:0001002</v>
          </cell>
        </row>
        <row r="594">
          <cell r="B594" t="str">
            <v>77:03:0001003</v>
          </cell>
        </row>
        <row r="595">
          <cell r="B595" t="str">
            <v>77:03:0001004</v>
          </cell>
        </row>
        <row r="596">
          <cell r="B596" t="str">
            <v>77:03:0001005</v>
          </cell>
        </row>
        <row r="597">
          <cell r="B597" t="str">
            <v>77:03:0001007</v>
          </cell>
        </row>
        <row r="598">
          <cell r="B598" t="str">
            <v>77:03:0001008</v>
          </cell>
        </row>
        <row r="599">
          <cell r="B599" t="str">
            <v>77:03:0001009</v>
          </cell>
        </row>
        <row r="600">
          <cell r="B600" t="str">
            <v>77:03:0001010</v>
          </cell>
        </row>
        <row r="601">
          <cell r="B601" t="str">
            <v>77:03:0001011</v>
          </cell>
        </row>
        <row r="602">
          <cell r="B602" t="str">
            <v>77:03:0001012</v>
          </cell>
        </row>
        <row r="603">
          <cell r="B603" t="str">
            <v>77:03:0001013</v>
          </cell>
        </row>
        <row r="604">
          <cell r="B604" t="str">
            <v>77:03:0002001</v>
          </cell>
        </row>
        <row r="605">
          <cell r="B605" t="str">
            <v>77:03:0002002</v>
          </cell>
        </row>
        <row r="606">
          <cell r="B606" t="str">
            <v>77:03:0002003</v>
          </cell>
        </row>
        <row r="607">
          <cell r="B607" t="str">
            <v>77:03:0002004</v>
          </cell>
        </row>
        <row r="608">
          <cell r="B608" t="str">
            <v>77:03:0002005</v>
          </cell>
        </row>
        <row r="609">
          <cell r="B609" t="str">
            <v>77:03:0002006</v>
          </cell>
        </row>
        <row r="610">
          <cell r="B610" t="str">
            <v>77:03:0002007</v>
          </cell>
        </row>
        <row r="611">
          <cell r="B611" t="str">
            <v>77:03:0002008</v>
          </cell>
        </row>
        <row r="612">
          <cell r="B612" t="str">
            <v>77:03:0002009</v>
          </cell>
        </row>
        <row r="613">
          <cell r="B613" t="str">
            <v>77:03:0002010</v>
          </cell>
        </row>
        <row r="614">
          <cell r="B614" t="str">
            <v>77:03:0002011</v>
          </cell>
        </row>
        <row r="615">
          <cell r="B615" t="str">
            <v>77:03:0002012</v>
          </cell>
        </row>
        <row r="616">
          <cell r="B616" t="str">
            <v>77:03:0002013</v>
          </cell>
        </row>
        <row r="617">
          <cell r="B617" t="str">
            <v>77:03:0002014</v>
          </cell>
        </row>
        <row r="618">
          <cell r="B618" t="str">
            <v>77:03:0002015</v>
          </cell>
        </row>
        <row r="619">
          <cell r="B619" t="str">
            <v>77:03:0002016</v>
          </cell>
        </row>
        <row r="620">
          <cell r="B620" t="str">
            <v>77:03:0002017</v>
          </cell>
        </row>
        <row r="621">
          <cell r="B621" t="str">
            <v>77:03:0002018</v>
          </cell>
        </row>
        <row r="622">
          <cell r="B622" t="str">
            <v>77:03:0002019</v>
          </cell>
        </row>
        <row r="623">
          <cell r="B623" t="str">
            <v>77:03:0002020</v>
          </cell>
        </row>
        <row r="624">
          <cell r="B624" t="str">
            <v>77:03:0002021</v>
          </cell>
        </row>
        <row r="625">
          <cell r="B625" t="str">
            <v>77:03:0003001</v>
          </cell>
        </row>
        <row r="626">
          <cell r="B626" t="str">
            <v>77:03:0003002</v>
          </cell>
        </row>
        <row r="627">
          <cell r="B627" t="str">
            <v>77:03:0003003</v>
          </cell>
        </row>
        <row r="628">
          <cell r="B628" t="str">
            <v>77:03:0003004</v>
          </cell>
        </row>
        <row r="629">
          <cell r="B629" t="str">
            <v>77:03:0003005</v>
          </cell>
        </row>
        <row r="630">
          <cell r="B630" t="str">
            <v>77:03:0003006</v>
          </cell>
        </row>
        <row r="631">
          <cell r="B631" t="str">
            <v>77:03:0003007</v>
          </cell>
        </row>
        <row r="632">
          <cell r="B632" t="str">
            <v>77:03:0003008</v>
          </cell>
        </row>
        <row r="633">
          <cell r="B633" t="str">
            <v>77:03:0003009</v>
          </cell>
        </row>
        <row r="634">
          <cell r="B634" t="str">
            <v>77:03:0003010</v>
          </cell>
        </row>
        <row r="635">
          <cell r="B635" t="str">
            <v>77:03:0003011</v>
          </cell>
        </row>
        <row r="636">
          <cell r="B636" t="str">
            <v>77:03:0003012</v>
          </cell>
        </row>
        <row r="637">
          <cell r="B637" t="str">
            <v>77:03:0003013</v>
          </cell>
        </row>
        <row r="638">
          <cell r="B638" t="str">
            <v>77:03:0003014</v>
          </cell>
        </row>
        <row r="639">
          <cell r="B639" t="str">
            <v>77:03:0003015</v>
          </cell>
        </row>
        <row r="640">
          <cell r="B640" t="str">
            <v>77:03:0003016</v>
          </cell>
        </row>
        <row r="641">
          <cell r="B641" t="str">
            <v>77:03:0003017</v>
          </cell>
        </row>
        <row r="642">
          <cell r="B642" t="str">
            <v>77:03:0003018</v>
          </cell>
        </row>
        <row r="643">
          <cell r="B643" t="str">
            <v>77:03:0003019</v>
          </cell>
        </row>
        <row r="644">
          <cell r="B644" t="str">
            <v>77:03:0003020</v>
          </cell>
        </row>
        <row r="645">
          <cell r="B645" t="str">
            <v>77:03:0003021</v>
          </cell>
        </row>
        <row r="646">
          <cell r="B646" t="str">
            <v>77:03:0003022</v>
          </cell>
        </row>
        <row r="647">
          <cell r="B647" t="str">
            <v>77:03:0003023</v>
          </cell>
        </row>
        <row r="648">
          <cell r="B648" t="str">
            <v>77:03:0003024</v>
          </cell>
        </row>
        <row r="649">
          <cell r="B649" t="str">
            <v>77:03:0003025</v>
          </cell>
        </row>
        <row r="650">
          <cell r="B650" t="str">
            <v>77:03:0003026</v>
          </cell>
        </row>
        <row r="651">
          <cell r="B651" t="str">
            <v>77:03:0004001</v>
          </cell>
        </row>
        <row r="652">
          <cell r="B652" t="str">
            <v>77:03:0004002</v>
          </cell>
        </row>
        <row r="653">
          <cell r="B653" t="str">
            <v>77:03:0004003</v>
          </cell>
        </row>
        <row r="654">
          <cell r="B654" t="str">
            <v>77:03:0004004</v>
          </cell>
        </row>
        <row r="655">
          <cell r="B655" t="str">
            <v>77:03:0004005</v>
          </cell>
        </row>
        <row r="656">
          <cell r="B656" t="str">
            <v>77:03:0004006</v>
          </cell>
        </row>
        <row r="657">
          <cell r="B657" t="str">
            <v>77:03:0004007</v>
          </cell>
        </row>
        <row r="658">
          <cell r="B658" t="str">
            <v>77:03:0004008</v>
          </cell>
        </row>
        <row r="659">
          <cell r="B659" t="str">
            <v>77:03:0004009</v>
          </cell>
        </row>
        <row r="660">
          <cell r="B660" t="str">
            <v>77:03:0004010</v>
          </cell>
        </row>
        <row r="661">
          <cell r="B661" t="str">
            <v>77:03:0004011</v>
          </cell>
        </row>
        <row r="662">
          <cell r="B662" t="str">
            <v>77:03:0004012</v>
          </cell>
        </row>
        <row r="663">
          <cell r="B663" t="str">
            <v>77:03:0005001</v>
          </cell>
        </row>
        <row r="664">
          <cell r="B664" t="str">
            <v>77:03:0005002</v>
          </cell>
        </row>
        <row r="665">
          <cell r="B665" t="str">
            <v>77:03:0005003</v>
          </cell>
        </row>
        <row r="666">
          <cell r="B666" t="str">
            <v>77:03:0005004</v>
          </cell>
        </row>
        <row r="667">
          <cell r="B667" t="str">
            <v>77:03:0005005</v>
          </cell>
        </row>
        <row r="668">
          <cell r="B668" t="str">
            <v>77:03:0005006</v>
          </cell>
        </row>
        <row r="669">
          <cell r="B669" t="str">
            <v>77:03:0005007</v>
          </cell>
        </row>
        <row r="670">
          <cell r="B670" t="str">
            <v>77:03:0005008</v>
          </cell>
        </row>
        <row r="671">
          <cell r="B671" t="str">
            <v>77:03:0005009</v>
          </cell>
        </row>
        <row r="672">
          <cell r="B672" t="str">
            <v>77:03:0005010</v>
          </cell>
        </row>
        <row r="673">
          <cell r="B673" t="str">
            <v>77:03:0005011</v>
          </cell>
        </row>
        <row r="674">
          <cell r="B674" t="str">
            <v>77:03:0005012</v>
          </cell>
        </row>
        <row r="675">
          <cell r="B675" t="str">
            <v>77:03:0005013</v>
          </cell>
        </row>
        <row r="676">
          <cell r="B676" t="str">
            <v>77:03:0005014</v>
          </cell>
        </row>
        <row r="677">
          <cell r="B677" t="str">
            <v>77:03:0005015</v>
          </cell>
        </row>
        <row r="678">
          <cell r="B678" t="str">
            <v>77:03:0005016</v>
          </cell>
        </row>
        <row r="679">
          <cell r="B679" t="str">
            <v>77:03:0005017</v>
          </cell>
        </row>
        <row r="680">
          <cell r="B680" t="str">
            <v>77:03:0005018</v>
          </cell>
        </row>
        <row r="681">
          <cell r="B681" t="str">
            <v>77:03:0005019</v>
          </cell>
        </row>
        <row r="682">
          <cell r="B682" t="str">
            <v>77:03:0005020</v>
          </cell>
        </row>
        <row r="683">
          <cell r="B683" t="str">
            <v>77:03:0005021</v>
          </cell>
        </row>
        <row r="684">
          <cell r="B684" t="str">
            <v>77:03:0005022</v>
          </cell>
        </row>
        <row r="685">
          <cell r="B685" t="str">
            <v>77:03:0005023</v>
          </cell>
        </row>
        <row r="686">
          <cell r="B686" t="str">
            <v>77:03:0005024</v>
          </cell>
        </row>
        <row r="687">
          <cell r="B687" t="str">
            <v>77:03:0005025</v>
          </cell>
        </row>
        <row r="688">
          <cell r="B688" t="str">
            <v>77:03:0005026</v>
          </cell>
        </row>
        <row r="689">
          <cell r="B689" t="str">
            <v>77:03:0006001</v>
          </cell>
        </row>
        <row r="690">
          <cell r="B690" t="str">
            <v>77:03:0006002</v>
          </cell>
        </row>
        <row r="691">
          <cell r="B691" t="str">
            <v>77:03:0006003</v>
          </cell>
        </row>
        <row r="692">
          <cell r="B692" t="str">
            <v>77:03:0006004</v>
          </cell>
        </row>
        <row r="693">
          <cell r="B693" t="str">
            <v>77:03:0006005</v>
          </cell>
        </row>
        <row r="694">
          <cell r="B694" t="str">
            <v>77:03:0006006</v>
          </cell>
        </row>
        <row r="695">
          <cell r="B695" t="str">
            <v>77:03:0006007</v>
          </cell>
        </row>
        <row r="696">
          <cell r="B696" t="str">
            <v>77:03:0006008</v>
          </cell>
        </row>
        <row r="697">
          <cell r="B697" t="str">
            <v>77:03:0006009</v>
          </cell>
        </row>
        <row r="698">
          <cell r="B698" t="str">
            <v>77:03:0006010</v>
          </cell>
        </row>
        <row r="699">
          <cell r="B699" t="str">
            <v>77:03:0006011</v>
          </cell>
        </row>
        <row r="700">
          <cell r="B700" t="str">
            <v>77:03:0006012</v>
          </cell>
        </row>
        <row r="701">
          <cell r="B701" t="str">
            <v>77:03:0006013</v>
          </cell>
        </row>
        <row r="702">
          <cell r="B702" t="str">
            <v>77:03:0006014</v>
          </cell>
        </row>
        <row r="703">
          <cell r="B703" t="str">
            <v>77:03:0006015</v>
          </cell>
        </row>
        <row r="704">
          <cell r="B704" t="str">
            <v>77:03:0006016</v>
          </cell>
        </row>
        <row r="705">
          <cell r="B705" t="str">
            <v>77:03:0006017</v>
          </cell>
        </row>
        <row r="706">
          <cell r="B706" t="str">
            <v>77:03:0006018</v>
          </cell>
        </row>
        <row r="707">
          <cell r="B707" t="str">
            <v>77:03:0006019</v>
          </cell>
        </row>
        <row r="708">
          <cell r="B708" t="str">
            <v>77:03:0006020</v>
          </cell>
        </row>
        <row r="709">
          <cell r="B709" t="str">
            <v>77:03:0006021</v>
          </cell>
        </row>
        <row r="710">
          <cell r="B710" t="str">
            <v>77:03:0006022</v>
          </cell>
        </row>
        <row r="711">
          <cell r="B711" t="str">
            <v>77:03:0006023</v>
          </cell>
        </row>
        <row r="712">
          <cell r="B712" t="str">
            <v>77:03:0006024</v>
          </cell>
        </row>
        <row r="713">
          <cell r="B713" t="str">
            <v>77:03:0006025</v>
          </cell>
        </row>
        <row r="714">
          <cell r="B714" t="str">
            <v>77:03:0006026</v>
          </cell>
        </row>
        <row r="715">
          <cell r="B715" t="str">
            <v>77:03:0006027</v>
          </cell>
        </row>
        <row r="716">
          <cell r="B716" t="str">
            <v>77:03:0006028</v>
          </cell>
        </row>
        <row r="717">
          <cell r="B717" t="str">
            <v>77:03:0007001</v>
          </cell>
        </row>
        <row r="718">
          <cell r="B718" t="str">
            <v>77:03:0007002</v>
          </cell>
        </row>
        <row r="719">
          <cell r="B719" t="str">
            <v>77:03:0007003</v>
          </cell>
        </row>
        <row r="720">
          <cell r="B720" t="str">
            <v>77:03:0007004</v>
          </cell>
        </row>
        <row r="721">
          <cell r="B721" t="str">
            <v>77:03:0007005</v>
          </cell>
        </row>
        <row r="722">
          <cell r="B722" t="str">
            <v>77:03:0007006</v>
          </cell>
        </row>
        <row r="723">
          <cell r="B723" t="str">
            <v>77:03:0007007</v>
          </cell>
        </row>
        <row r="724">
          <cell r="B724" t="str">
            <v>77:03:0007008</v>
          </cell>
        </row>
        <row r="725">
          <cell r="B725" t="str">
            <v>77:03:0007010</v>
          </cell>
        </row>
        <row r="726">
          <cell r="B726" t="str">
            <v>77:03:0008001</v>
          </cell>
        </row>
        <row r="727">
          <cell r="B727" t="str">
            <v>77:03:0008002</v>
          </cell>
        </row>
        <row r="728">
          <cell r="B728" t="str">
            <v>77:03:0009001</v>
          </cell>
        </row>
        <row r="729">
          <cell r="B729" t="str">
            <v>77:03:0009002</v>
          </cell>
        </row>
        <row r="730">
          <cell r="B730" t="str">
            <v>77:03:0009003</v>
          </cell>
        </row>
        <row r="731">
          <cell r="B731" t="str">
            <v>77:03:0009004</v>
          </cell>
        </row>
        <row r="732">
          <cell r="B732" t="str">
            <v>77:03:0009005</v>
          </cell>
        </row>
        <row r="733">
          <cell r="B733" t="str">
            <v>77:03:0009006</v>
          </cell>
        </row>
        <row r="734">
          <cell r="B734" t="str">
            <v>77:03:0009007</v>
          </cell>
        </row>
        <row r="735">
          <cell r="B735" t="str">
            <v>77:03:0010001</v>
          </cell>
        </row>
        <row r="736">
          <cell r="B736" t="str">
            <v>77:03:0010002</v>
          </cell>
        </row>
        <row r="737">
          <cell r="B737" t="str">
            <v>77:03:0010003</v>
          </cell>
        </row>
        <row r="738">
          <cell r="B738" t="str">
            <v>77:03:0010004</v>
          </cell>
        </row>
        <row r="739">
          <cell r="B739" t="str">
            <v>77:03:0010005</v>
          </cell>
        </row>
        <row r="740">
          <cell r="B740" t="str">
            <v>77:03:0010006</v>
          </cell>
        </row>
        <row r="741">
          <cell r="B741" t="str">
            <v>77:03:0010007</v>
          </cell>
        </row>
        <row r="742">
          <cell r="B742" t="str">
            <v>77:03:0010008</v>
          </cell>
        </row>
        <row r="743">
          <cell r="B743" t="str">
            <v>77:03:0010009</v>
          </cell>
        </row>
        <row r="744">
          <cell r="B744" t="str">
            <v>77:03:0010010</v>
          </cell>
        </row>
        <row r="745">
          <cell r="B745" t="str">
            <v>77:03:0010011</v>
          </cell>
        </row>
        <row r="746">
          <cell r="B746" t="str">
            <v>77:03:0011001</v>
          </cell>
        </row>
        <row r="747">
          <cell r="B747" t="str">
            <v>77:03:0011002</v>
          </cell>
        </row>
        <row r="748">
          <cell r="B748" t="str">
            <v>77:04:0001001</v>
          </cell>
        </row>
        <row r="749">
          <cell r="B749" t="str">
            <v>77:04:0001002</v>
          </cell>
        </row>
        <row r="750">
          <cell r="B750" t="str">
            <v>77:04:0001003</v>
          </cell>
        </row>
        <row r="751">
          <cell r="B751" t="str">
            <v>77:04:0001004</v>
          </cell>
        </row>
        <row r="752">
          <cell r="B752" t="str">
            <v>77:04:0001005</v>
          </cell>
        </row>
        <row r="753">
          <cell r="B753" t="str">
            <v>77:04:0001006</v>
          </cell>
        </row>
        <row r="754">
          <cell r="B754" t="str">
            <v>77:04:0001007</v>
          </cell>
        </row>
        <row r="755">
          <cell r="B755" t="str">
            <v>77:04:0001008</v>
          </cell>
        </row>
        <row r="756">
          <cell r="B756" t="str">
            <v>77:04:0001009</v>
          </cell>
        </row>
        <row r="757">
          <cell r="B757" t="str">
            <v>77:04:0001010</v>
          </cell>
        </row>
        <row r="758">
          <cell r="B758" t="str">
            <v>77:04:0001011</v>
          </cell>
        </row>
        <row r="759">
          <cell r="B759" t="str">
            <v>77:04:0001012</v>
          </cell>
        </row>
        <row r="760">
          <cell r="B760" t="str">
            <v>77:04:0001013</v>
          </cell>
        </row>
        <row r="761">
          <cell r="B761" t="str">
            <v>77:04:0001014</v>
          </cell>
        </row>
        <row r="762">
          <cell r="B762" t="str">
            <v>77:04:0001015</v>
          </cell>
        </row>
        <row r="763">
          <cell r="B763" t="str">
            <v>77:04:0001016</v>
          </cell>
        </row>
        <row r="764">
          <cell r="B764" t="str">
            <v>77:04:0001017</v>
          </cell>
        </row>
        <row r="765">
          <cell r="B765" t="str">
            <v>77:04:0001018</v>
          </cell>
        </row>
        <row r="766">
          <cell r="B766" t="str">
            <v>77:04:0001019</v>
          </cell>
        </row>
        <row r="767">
          <cell r="B767" t="str">
            <v>77:04:0001020</v>
          </cell>
        </row>
        <row r="768">
          <cell r="B768" t="str">
            <v>77:04:0001021</v>
          </cell>
        </row>
        <row r="769">
          <cell r="B769" t="str">
            <v>77:04:0001022</v>
          </cell>
        </row>
        <row r="770">
          <cell r="B770" t="str">
            <v>77:04:0002001</v>
          </cell>
        </row>
        <row r="771">
          <cell r="B771" t="str">
            <v>77:04:0002002</v>
          </cell>
        </row>
        <row r="772">
          <cell r="B772" t="str">
            <v>77:04:0002003</v>
          </cell>
        </row>
        <row r="773">
          <cell r="B773" t="str">
            <v>77:04:0002004</v>
          </cell>
        </row>
        <row r="774">
          <cell r="B774" t="str">
            <v>77:04:0002005</v>
          </cell>
        </row>
        <row r="775">
          <cell r="B775" t="str">
            <v>77:04:0002006</v>
          </cell>
        </row>
        <row r="776">
          <cell r="B776" t="str">
            <v>77:04:0002007</v>
          </cell>
        </row>
        <row r="777">
          <cell r="B777" t="str">
            <v>77:04:0002008</v>
          </cell>
        </row>
        <row r="778">
          <cell r="B778" t="str">
            <v>77:04:0002009</v>
          </cell>
        </row>
        <row r="779">
          <cell r="B779" t="str">
            <v>77:04:0002010</v>
          </cell>
        </row>
        <row r="780">
          <cell r="B780" t="str">
            <v>77:04:0002011</v>
          </cell>
        </row>
        <row r="781">
          <cell r="B781" t="str">
            <v>77:04:0002012</v>
          </cell>
        </row>
        <row r="782">
          <cell r="B782" t="str">
            <v>77:04:0002013</v>
          </cell>
        </row>
        <row r="783">
          <cell r="B783" t="str">
            <v>77:04:0002014</v>
          </cell>
        </row>
        <row r="784">
          <cell r="B784" t="str">
            <v>77:04:0002015</v>
          </cell>
        </row>
        <row r="785">
          <cell r="B785" t="str">
            <v>77:04:0002016</v>
          </cell>
        </row>
        <row r="786">
          <cell r="B786" t="str">
            <v>77:04:0002017</v>
          </cell>
        </row>
        <row r="787">
          <cell r="B787" t="str">
            <v>77:04:0002018</v>
          </cell>
        </row>
        <row r="788">
          <cell r="B788" t="str">
            <v>77:04:0002019</v>
          </cell>
        </row>
        <row r="789">
          <cell r="B789" t="str">
            <v>77:04:0002020</v>
          </cell>
        </row>
        <row r="790">
          <cell r="B790" t="str">
            <v>77:04:0002021</v>
          </cell>
        </row>
        <row r="791">
          <cell r="B791" t="str">
            <v>77:04:0002023</v>
          </cell>
        </row>
        <row r="792">
          <cell r="B792" t="str">
            <v>77:04:0003001</v>
          </cell>
        </row>
        <row r="793">
          <cell r="B793" t="str">
            <v>77:04:0003002</v>
          </cell>
        </row>
        <row r="794">
          <cell r="B794" t="str">
            <v>77:04:0003003</v>
          </cell>
        </row>
        <row r="795">
          <cell r="B795" t="str">
            <v>77:04:0003004</v>
          </cell>
        </row>
        <row r="796">
          <cell r="B796" t="str">
            <v>77:04:0003005</v>
          </cell>
        </row>
        <row r="797">
          <cell r="B797" t="str">
            <v>77:04:0003006</v>
          </cell>
        </row>
        <row r="798">
          <cell r="B798" t="str">
            <v>77:04:0003007</v>
          </cell>
        </row>
        <row r="799">
          <cell r="B799" t="str">
            <v>77:04:0003008</v>
          </cell>
        </row>
        <row r="800">
          <cell r="B800" t="str">
            <v>77:04:0003009</v>
          </cell>
        </row>
        <row r="801">
          <cell r="B801" t="str">
            <v>77:04:0003010</v>
          </cell>
        </row>
        <row r="802">
          <cell r="B802" t="str">
            <v>77:04:0003011</v>
          </cell>
        </row>
        <row r="803">
          <cell r="B803" t="str">
            <v>77:04:0003012</v>
          </cell>
        </row>
        <row r="804">
          <cell r="B804" t="str">
            <v>77:04:0003013</v>
          </cell>
        </row>
        <row r="805">
          <cell r="B805" t="str">
            <v>77:04:0003014</v>
          </cell>
        </row>
        <row r="806">
          <cell r="B806" t="str">
            <v>77:04:0003015</v>
          </cell>
        </row>
        <row r="807">
          <cell r="B807" t="str">
            <v>77:04:0003016</v>
          </cell>
        </row>
        <row r="808">
          <cell r="B808" t="str">
            <v>77:04:0003017</v>
          </cell>
        </row>
        <row r="809">
          <cell r="B809" t="str">
            <v>77:04:0003018</v>
          </cell>
        </row>
        <row r="810">
          <cell r="B810" t="str">
            <v>77:04:0003019</v>
          </cell>
        </row>
        <row r="811">
          <cell r="B811" t="str">
            <v>77:04:0003020</v>
          </cell>
        </row>
        <row r="812">
          <cell r="B812" t="str">
            <v>77:04:0004001</v>
          </cell>
        </row>
        <row r="813">
          <cell r="B813" t="str">
            <v>77:04:0004002</v>
          </cell>
        </row>
        <row r="814">
          <cell r="B814" t="str">
            <v>77:04:0004003</v>
          </cell>
        </row>
        <row r="815">
          <cell r="B815" t="str">
            <v>77:04:0004004</v>
          </cell>
        </row>
        <row r="816">
          <cell r="B816" t="str">
            <v>77:04:0004005</v>
          </cell>
        </row>
        <row r="817">
          <cell r="B817" t="str">
            <v>77:04:0004006</v>
          </cell>
        </row>
        <row r="818">
          <cell r="B818" t="str">
            <v>77:04:0004007</v>
          </cell>
        </row>
        <row r="819">
          <cell r="B819" t="str">
            <v>77:04:0004008</v>
          </cell>
        </row>
        <row r="820">
          <cell r="B820" t="str">
            <v>77:04:0004009</v>
          </cell>
        </row>
        <row r="821">
          <cell r="B821" t="str">
            <v>77:04:0004010</v>
          </cell>
        </row>
        <row r="822">
          <cell r="B822" t="str">
            <v>77:04:0004011</v>
          </cell>
        </row>
        <row r="823">
          <cell r="B823" t="str">
            <v>77:04:0004012</v>
          </cell>
        </row>
        <row r="824">
          <cell r="B824" t="str">
            <v>77:04:0004013</v>
          </cell>
        </row>
        <row r="825">
          <cell r="B825" t="str">
            <v>77:04:0004014</v>
          </cell>
        </row>
        <row r="826">
          <cell r="B826" t="str">
            <v>77:04:0004015</v>
          </cell>
        </row>
        <row r="827">
          <cell r="B827" t="str">
            <v>77:04:0004016</v>
          </cell>
        </row>
        <row r="828">
          <cell r="B828" t="str">
            <v>77:04:0004017</v>
          </cell>
        </row>
        <row r="829">
          <cell r="B829" t="str">
            <v>77:04:0004018</v>
          </cell>
        </row>
        <row r="830">
          <cell r="B830" t="str">
            <v>77:04:0004019</v>
          </cell>
        </row>
        <row r="831">
          <cell r="B831" t="str">
            <v>77:04:0004020</v>
          </cell>
        </row>
        <row r="832">
          <cell r="B832" t="str">
            <v>77:04:0004021</v>
          </cell>
        </row>
        <row r="833">
          <cell r="B833" t="str">
            <v>77:04:0004024</v>
          </cell>
        </row>
        <row r="834">
          <cell r="B834" t="str">
            <v>77:04:0004025</v>
          </cell>
        </row>
        <row r="835">
          <cell r="B835" t="str">
            <v>77:04:0004026</v>
          </cell>
        </row>
        <row r="836">
          <cell r="B836" t="str">
            <v>77:04:0004027</v>
          </cell>
        </row>
        <row r="837">
          <cell r="B837" t="str">
            <v>77:04:0004028</v>
          </cell>
        </row>
        <row r="838">
          <cell r="B838" t="str">
            <v>77:04:0004029</v>
          </cell>
        </row>
        <row r="839">
          <cell r="B839" t="str">
            <v>77:04:0005002</v>
          </cell>
        </row>
        <row r="840">
          <cell r="B840" t="str">
            <v>77:04:0005003</v>
          </cell>
        </row>
        <row r="841">
          <cell r="B841" t="str">
            <v>77:04:0005004</v>
          </cell>
        </row>
        <row r="842">
          <cell r="B842" t="str">
            <v>77:04:0005005</v>
          </cell>
        </row>
        <row r="843">
          <cell r="B843" t="str">
            <v>77:04:0005006</v>
          </cell>
        </row>
        <row r="844">
          <cell r="B844" t="str">
            <v>77:04:0005007</v>
          </cell>
        </row>
        <row r="845">
          <cell r="B845" t="str">
            <v>77:04:0005008</v>
          </cell>
        </row>
        <row r="846">
          <cell r="B846" t="str">
            <v>77:04:0005009</v>
          </cell>
        </row>
        <row r="847">
          <cell r="B847" t="str">
            <v>77:04:0006001</v>
          </cell>
        </row>
        <row r="848">
          <cell r="B848" t="str">
            <v>77:04:0006002</v>
          </cell>
        </row>
        <row r="849">
          <cell r="B849" t="str">
            <v>77:04:0006003</v>
          </cell>
        </row>
        <row r="850">
          <cell r="B850" t="str">
            <v>77:05:0001001</v>
          </cell>
        </row>
        <row r="851">
          <cell r="B851" t="str">
            <v>77:05:0001002</v>
          </cell>
        </row>
        <row r="852">
          <cell r="B852" t="str">
            <v>77:05:0001003</v>
          </cell>
        </row>
        <row r="853">
          <cell r="B853" t="str">
            <v>77:05:0001004</v>
          </cell>
        </row>
        <row r="854">
          <cell r="B854" t="str">
            <v>77:05:0001005</v>
          </cell>
        </row>
        <row r="855">
          <cell r="B855" t="str">
            <v>77:05:0001006</v>
          </cell>
        </row>
        <row r="856">
          <cell r="B856" t="str">
            <v>77:05:0001007</v>
          </cell>
        </row>
        <row r="857">
          <cell r="B857" t="str">
            <v>77:05:0001008</v>
          </cell>
        </row>
        <row r="858">
          <cell r="B858" t="str">
            <v>77:05:0001009</v>
          </cell>
        </row>
        <row r="859">
          <cell r="B859" t="str">
            <v>77:05:0001010</v>
          </cell>
        </row>
        <row r="860">
          <cell r="B860" t="str">
            <v>77:05:0001011</v>
          </cell>
        </row>
        <row r="861">
          <cell r="B861" t="str">
            <v>77:05:0001012</v>
          </cell>
        </row>
        <row r="862">
          <cell r="B862" t="str">
            <v>77:05:0001013</v>
          </cell>
        </row>
        <row r="863">
          <cell r="B863" t="str">
            <v>77:05:0001014</v>
          </cell>
        </row>
        <row r="864">
          <cell r="B864" t="str">
            <v>77:05:0001015</v>
          </cell>
        </row>
        <row r="865">
          <cell r="B865" t="str">
            <v>77:05:0001016</v>
          </cell>
        </row>
        <row r="866">
          <cell r="B866" t="str">
            <v>77:05:0001017</v>
          </cell>
        </row>
        <row r="867">
          <cell r="B867" t="str">
            <v>77:05:0001018</v>
          </cell>
        </row>
        <row r="868">
          <cell r="B868" t="str">
            <v>77:05:0001019</v>
          </cell>
        </row>
        <row r="869">
          <cell r="B869" t="str">
            <v>77:05:0001020</v>
          </cell>
        </row>
        <row r="870">
          <cell r="B870" t="str">
            <v>77:05:0002001</v>
          </cell>
        </row>
        <row r="871">
          <cell r="B871" t="str">
            <v>77:05:0002002</v>
          </cell>
        </row>
        <row r="872">
          <cell r="B872" t="str">
            <v>77:05:0002003</v>
          </cell>
        </row>
        <row r="873">
          <cell r="B873" t="str">
            <v>77:05:0002004</v>
          </cell>
        </row>
        <row r="874">
          <cell r="B874" t="str">
            <v>77:05:0002005</v>
          </cell>
        </row>
        <row r="875">
          <cell r="B875" t="str">
            <v>77:05:0002006</v>
          </cell>
        </row>
        <row r="876">
          <cell r="B876" t="str">
            <v>77:05:0002007</v>
          </cell>
        </row>
        <row r="877">
          <cell r="B877" t="str">
            <v>77:05:0002008</v>
          </cell>
        </row>
        <row r="878">
          <cell r="B878" t="str">
            <v>77:05:0002009</v>
          </cell>
        </row>
        <row r="879">
          <cell r="B879" t="str">
            <v>77:05:0003001</v>
          </cell>
        </row>
        <row r="880">
          <cell r="B880" t="str">
            <v>77:05:0003002</v>
          </cell>
        </row>
        <row r="881">
          <cell r="B881" t="str">
            <v>77:05:0003003</v>
          </cell>
        </row>
        <row r="882">
          <cell r="B882" t="str">
            <v>77:05:0003004</v>
          </cell>
        </row>
        <row r="883">
          <cell r="B883" t="str">
            <v>77:05:0003005</v>
          </cell>
        </row>
        <row r="884">
          <cell r="B884" t="str">
            <v>77:05:0003006</v>
          </cell>
        </row>
        <row r="885">
          <cell r="B885" t="str">
            <v>77:05:0003007</v>
          </cell>
        </row>
        <row r="886">
          <cell r="B886" t="str">
            <v>77:05:0003008</v>
          </cell>
        </row>
        <row r="887">
          <cell r="B887" t="str">
            <v>77:05:0003009</v>
          </cell>
        </row>
        <row r="888">
          <cell r="B888" t="str">
            <v>77:05:0003010</v>
          </cell>
        </row>
        <row r="889">
          <cell r="B889" t="str">
            <v>77:05:0004001</v>
          </cell>
        </row>
        <row r="890">
          <cell r="B890" t="str">
            <v>77:05:0004002</v>
          </cell>
        </row>
        <row r="891">
          <cell r="B891" t="str">
            <v>77:05:0004003</v>
          </cell>
        </row>
        <row r="892">
          <cell r="B892" t="str">
            <v>77:05:0004004</v>
          </cell>
        </row>
        <row r="893">
          <cell r="B893" t="str">
            <v>77:05:0004005</v>
          </cell>
        </row>
        <row r="894">
          <cell r="B894" t="str">
            <v>77:05:0004006</v>
          </cell>
        </row>
        <row r="895">
          <cell r="B895" t="str">
            <v>77:05:0004007</v>
          </cell>
        </row>
        <row r="896">
          <cell r="B896" t="str">
            <v>77:05:0004008</v>
          </cell>
        </row>
        <row r="897">
          <cell r="B897" t="str">
            <v>77:05:0004009</v>
          </cell>
        </row>
        <row r="898">
          <cell r="B898" t="str">
            <v>77:05:0004010</v>
          </cell>
        </row>
        <row r="899">
          <cell r="B899" t="str">
            <v>77:05:0004011</v>
          </cell>
        </row>
        <row r="900">
          <cell r="B900" t="str">
            <v>77:05:0004012</v>
          </cell>
        </row>
        <row r="901">
          <cell r="B901" t="str">
            <v>77:05:0004013</v>
          </cell>
        </row>
        <row r="902">
          <cell r="B902" t="str">
            <v>77:05:0004014</v>
          </cell>
        </row>
        <row r="903">
          <cell r="B903" t="str">
            <v>77:05:0004015</v>
          </cell>
        </row>
        <row r="904">
          <cell r="B904" t="str">
            <v>77:05:0004016</v>
          </cell>
        </row>
        <row r="905">
          <cell r="B905" t="str">
            <v>77:05:0004017</v>
          </cell>
        </row>
        <row r="906">
          <cell r="B906" t="str">
            <v>77:05:0005002</v>
          </cell>
        </row>
        <row r="907">
          <cell r="B907" t="str">
            <v>77:05:0005003</v>
          </cell>
        </row>
        <row r="908">
          <cell r="B908" t="str">
            <v>77:05:0005004</v>
          </cell>
        </row>
        <row r="909">
          <cell r="B909" t="str">
            <v>77:05:0005005</v>
          </cell>
        </row>
        <row r="910">
          <cell r="B910" t="str">
            <v>77:05:0005006</v>
          </cell>
        </row>
        <row r="911">
          <cell r="B911" t="str">
            <v>77:05:0005007</v>
          </cell>
        </row>
        <row r="912">
          <cell r="B912" t="str">
            <v>77:05:0005008</v>
          </cell>
        </row>
        <row r="913">
          <cell r="B913" t="str">
            <v>77:05:0005009</v>
          </cell>
        </row>
        <row r="914">
          <cell r="B914" t="str">
            <v>77:05:0005010</v>
          </cell>
        </row>
        <row r="915">
          <cell r="B915" t="str">
            <v>77:05:0005011</v>
          </cell>
        </row>
        <row r="916">
          <cell r="B916" t="str">
            <v>77:05:0006001</v>
          </cell>
        </row>
        <row r="917">
          <cell r="B917" t="str">
            <v>77:05:0006002</v>
          </cell>
        </row>
        <row r="918">
          <cell r="B918" t="str">
            <v>77:05:0006003</v>
          </cell>
        </row>
        <row r="919">
          <cell r="B919" t="str">
            <v>77:05:0006004</v>
          </cell>
        </row>
        <row r="920">
          <cell r="B920" t="str">
            <v>77:05:0006005</v>
          </cell>
        </row>
        <row r="921">
          <cell r="B921" t="str">
            <v>77:05:0006006</v>
          </cell>
        </row>
        <row r="922">
          <cell r="B922" t="str">
            <v>77:05:0007001</v>
          </cell>
        </row>
        <row r="923">
          <cell r="B923" t="str">
            <v>77:05:0007002</v>
          </cell>
        </row>
        <row r="924">
          <cell r="B924" t="str">
            <v>77:05:0007003</v>
          </cell>
        </row>
        <row r="925">
          <cell r="B925" t="str">
            <v>77:05:0007004</v>
          </cell>
        </row>
        <row r="926">
          <cell r="B926" t="str">
            <v>77:05:0007005</v>
          </cell>
        </row>
        <row r="927">
          <cell r="B927" t="str">
            <v>77:05:0007006</v>
          </cell>
        </row>
        <row r="928">
          <cell r="B928" t="str">
            <v>77:05:0007007</v>
          </cell>
        </row>
        <row r="929">
          <cell r="B929" t="str">
            <v>77:05:0008001</v>
          </cell>
        </row>
        <row r="930">
          <cell r="B930" t="str">
            <v>77:05:0008002</v>
          </cell>
        </row>
        <row r="931">
          <cell r="B931" t="str">
            <v>77:05:0008003</v>
          </cell>
        </row>
        <row r="932">
          <cell r="B932" t="str">
            <v>77:05:0008004</v>
          </cell>
        </row>
        <row r="933">
          <cell r="B933" t="str">
            <v>77:05:0008005</v>
          </cell>
        </row>
        <row r="934">
          <cell r="B934" t="str">
            <v>77:05:0008006</v>
          </cell>
        </row>
        <row r="935">
          <cell r="B935" t="str">
            <v>77:05:0008007</v>
          </cell>
        </row>
        <row r="936">
          <cell r="B936" t="str">
            <v>77:05:0009001</v>
          </cell>
        </row>
        <row r="937">
          <cell r="B937" t="str">
            <v>77:05:0009002</v>
          </cell>
        </row>
        <row r="938">
          <cell r="B938" t="str">
            <v>77:05:0009003</v>
          </cell>
        </row>
        <row r="939">
          <cell r="B939" t="str">
            <v>77:05:0009004</v>
          </cell>
        </row>
        <row r="940">
          <cell r="B940" t="str">
            <v>77:05:0009005</v>
          </cell>
        </row>
        <row r="941">
          <cell r="B941" t="str">
            <v>77:05:0009006</v>
          </cell>
        </row>
        <row r="942">
          <cell r="B942" t="str">
            <v>77:05:0010001</v>
          </cell>
        </row>
        <row r="943">
          <cell r="B943" t="str">
            <v>77:05:0010002</v>
          </cell>
        </row>
        <row r="944">
          <cell r="B944" t="str">
            <v>77:05:0010003</v>
          </cell>
        </row>
        <row r="945">
          <cell r="B945" t="str">
            <v>77:05:0010004</v>
          </cell>
        </row>
        <row r="946">
          <cell r="B946" t="str">
            <v>77:05:0010005</v>
          </cell>
        </row>
        <row r="947">
          <cell r="B947" t="str">
            <v>77:05:0010006</v>
          </cell>
        </row>
        <row r="948">
          <cell r="B948" t="str">
            <v>77:05:0010007</v>
          </cell>
        </row>
        <row r="949">
          <cell r="B949" t="str">
            <v>77:05:0010008</v>
          </cell>
        </row>
        <row r="950">
          <cell r="B950" t="str">
            <v>77:05:0010009</v>
          </cell>
        </row>
        <row r="951">
          <cell r="B951" t="str">
            <v>77:05:0010010</v>
          </cell>
        </row>
        <row r="952">
          <cell r="B952" t="str">
            <v>77:05:0010011</v>
          </cell>
        </row>
        <row r="953">
          <cell r="B953" t="str">
            <v>77:05:0011001</v>
          </cell>
        </row>
        <row r="954">
          <cell r="B954" t="str">
            <v>77:05:0011002</v>
          </cell>
        </row>
        <row r="955">
          <cell r="B955" t="str">
            <v>77:05:0011003</v>
          </cell>
        </row>
        <row r="956">
          <cell r="B956" t="str">
            <v>77:05:0011004</v>
          </cell>
        </row>
        <row r="957">
          <cell r="B957" t="str">
            <v>77:05:0011005</v>
          </cell>
        </row>
        <row r="958">
          <cell r="B958" t="str">
            <v>77:05:0011006</v>
          </cell>
        </row>
        <row r="959">
          <cell r="B959" t="str">
            <v>77:05:0011007</v>
          </cell>
        </row>
        <row r="960">
          <cell r="B960" t="str">
            <v>77:05:0011008</v>
          </cell>
        </row>
        <row r="961">
          <cell r="B961" t="str">
            <v>77:05:0011009</v>
          </cell>
        </row>
        <row r="962">
          <cell r="B962" t="str">
            <v>77:05:0011010</v>
          </cell>
        </row>
        <row r="963">
          <cell r="B963" t="str">
            <v>77:05:0011011</v>
          </cell>
        </row>
        <row r="964">
          <cell r="B964" t="str">
            <v>77:05:0011012</v>
          </cell>
        </row>
        <row r="965">
          <cell r="B965" t="str">
            <v>77:05:0011013</v>
          </cell>
        </row>
        <row r="966">
          <cell r="B966" t="str">
            <v>77:05:0011014</v>
          </cell>
        </row>
        <row r="967">
          <cell r="B967" t="str">
            <v>77:05:0012001</v>
          </cell>
        </row>
        <row r="968">
          <cell r="B968" t="str">
            <v>77:05:0012002</v>
          </cell>
        </row>
        <row r="969">
          <cell r="B969" t="str">
            <v>77:05:0012003</v>
          </cell>
        </row>
        <row r="970">
          <cell r="B970" t="str">
            <v>77:05:0012004</v>
          </cell>
        </row>
        <row r="971">
          <cell r="B971" t="str">
            <v>77:05:0012006</v>
          </cell>
        </row>
        <row r="972">
          <cell r="B972" t="str">
            <v>77:05:0012007</v>
          </cell>
        </row>
        <row r="973">
          <cell r="B973" t="str">
            <v>77:06:0001001</v>
          </cell>
        </row>
        <row r="974">
          <cell r="B974" t="str">
            <v>77:06:0001002</v>
          </cell>
        </row>
        <row r="975">
          <cell r="B975" t="str">
            <v>77:06:0001003</v>
          </cell>
        </row>
        <row r="976">
          <cell r="B976" t="str">
            <v>77:06:0001004</v>
          </cell>
        </row>
        <row r="977">
          <cell r="B977" t="str">
            <v>77:06:0001005</v>
          </cell>
        </row>
        <row r="978">
          <cell r="B978" t="str">
            <v>77:06:0001006</v>
          </cell>
        </row>
        <row r="979">
          <cell r="B979" t="str">
            <v>77:06:0001007</v>
          </cell>
        </row>
        <row r="980">
          <cell r="B980" t="str">
            <v>77:06:0002001</v>
          </cell>
        </row>
        <row r="981">
          <cell r="B981" t="str">
            <v>77:06:0002002</v>
          </cell>
        </row>
        <row r="982">
          <cell r="B982" t="str">
            <v>77:06:0002003</v>
          </cell>
        </row>
        <row r="983">
          <cell r="B983" t="str">
            <v>77:06:0002004</v>
          </cell>
        </row>
        <row r="984">
          <cell r="B984" t="str">
            <v>77:06:0002005</v>
          </cell>
        </row>
        <row r="985">
          <cell r="B985" t="str">
            <v>77:06:0002006</v>
          </cell>
        </row>
        <row r="986">
          <cell r="B986" t="str">
            <v>77:06:0002007</v>
          </cell>
        </row>
        <row r="987">
          <cell r="B987" t="str">
            <v>77:06:0002008</v>
          </cell>
        </row>
        <row r="988">
          <cell r="B988" t="str">
            <v>77:06:0002009</v>
          </cell>
        </row>
        <row r="989">
          <cell r="B989" t="str">
            <v>77:06:0002010</v>
          </cell>
        </row>
        <row r="990">
          <cell r="B990" t="str">
            <v>77:06:0002011</v>
          </cell>
        </row>
        <row r="991">
          <cell r="B991" t="str">
            <v>77:06:0002012</v>
          </cell>
        </row>
        <row r="992">
          <cell r="B992" t="str">
            <v>77:06:0002013</v>
          </cell>
        </row>
        <row r="993">
          <cell r="B993" t="str">
            <v>77:06:0002014</v>
          </cell>
        </row>
        <row r="994">
          <cell r="B994" t="str">
            <v>77:06:0002015</v>
          </cell>
        </row>
        <row r="995">
          <cell r="B995" t="str">
            <v>77:06:0002016</v>
          </cell>
        </row>
        <row r="996">
          <cell r="B996" t="str">
            <v>77:06:0002017</v>
          </cell>
        </row>
        <row r="997">
          <cell r="B997" t="str">
            <v>77:06:0002018</v>
          </cell>
        </row>
        <row r="998">
          <cell r="B998" t="str">
            <v>77:06:0002019</v>
          </cell>
        </row>
        <row r="999">
          <cell r="B999" t="str">
            <v>77:06:0003001</v>
          </cell>
        </row>
        <row r="1000">
          <cell r="B1000" t="str">
            <v>77:06:0003002</v>
          </cell>
        </row>
        <row r="1001">
          <cell r="B1001" t="str">
            <v>77:06:0003003</v>
          </cell>
        </row>
        <row r="1002">
          <cell r="B1002" t="str">
            <v>77:06:0003004</v>
          </cell>
        </row>
        <row r="1003">
          <cell r="B1003" t="str">
            <v>77:06:0003005</v>
          </cell>
        </row>
        <row r="1004">
          <cell r="B1004" t="str">
            <v>77:06:0003006</v>
          </cell>
        </row>
        <row r="1005">
          <cell r="B1005" t="str">
            <v>77:06:0003007</v>
          </cell>
        </row>
        <row r="1006">
          <cell r="B1006" t="str">
            <v>77:06:0003008</v>
          </cell>
        </row>
        <row r="1007">
          <cell r="B1007" t="str">
            <v>77:06:0003009</v>
          </cell>
        </row>
        <row r="1008">
          <cell r="B1008" t="str">
            <v>77:06:0003010</v>
          </cell>
        </row>
        <row r="1009">
          <cell r="B1009" t="str">
            <v>77:06:0003011</v>
          </cell>
        </row>
        <row r="1010">
          <cell r="B1010" t="str">
            <v>77:06:0003012</v>
          </cell>
        </row>
        <row r="1011">
          <cell r="B1011" t="str">
            <v>77:06:0003013</v>
          </cell>
        </row>
        <row r="1012">
          <cell r="B1012" t="str">
            <v>77:06:0003014</v>
          </cell>
        </row>
        <row r="1013">
          <cell r="B1013" t="str">
            <v>77:06:0003015</v>
          </cell>
        </row>
        <row r="1014">
          <cell r="B1014" t="str">
            <v>77:06:0003016</v>
          </cell>
        </row>
        <row r="1015">
          <cell r="B1015" t="str">
            <v>77:06:0004001</v>
          </cell>
        </row>
        <row r="1016">
          <cell r="B1016" t="str">
            <v>77:06:0004002</v>
          </cell>
        </row>
        <row r="1017">
          <cell r="B1017" t="str">
            <v>77:06:0004003</v>
          </cell>
        </row>
        <row r="1018">
          <cell r="B1018" t="str">
            <v>77:06:0004004</v>
          </cell>
        </row>
        <row r="1019">
          <cell r="B1019" t="str">
            <v>77:06:0004005</v>
          </cell>
        </row>
        <row r="1020">
          <cell r="B1020" t="str">
            <v>77:06:0004006</v>
          </cell>
        </row>
        <row r="1021">
          <cell r="B1021" t="str">
            <v>77:06:0004007</v>
          </cell>
        </row>
        <row r="1022">
          <cell r="B1022" t="str">
            <v>77:06:0004008</v>
          </cell>
        </row>
        <row r="1023">
          <cell r="B1023" t="str">
            <v>77:06:0004009</v>
          </cell>
        </row>
        <row r="1024">
          <cell r="B1024" t="str">
            <v>77:06:0004010</v>
          </cell>
        </row>
        <row r="1025">
          <cell r="B1025" t="str">
            <v>77:06:0004011</v>
          </cell>
        </row>
        <row r="1026">
          <cell r="B1026" t="str">
            <v>77:06:0005001</v>
          </cell>
        </row>
        <row r="1027">
          <cell r="B1027" t="str">
            <v>77:06:0005002</v>
          </cell>
        </row>
        <row r="1028">
          <cell r="B1028" t="str">
            <v>77:06:0005003</v>
          </cell>
        </row>
        <row r="1029">
          <cell r="B1029" t="str">
            <v>77:06:0005004</v>
          </cell>
        </row>
        <row r="1030">
          <cell r="B1030" t="str">
            <v>77:06:0005005</v>
          </cell>
        </row>
        <row r="1031">
          <cell r="B1031" t="str">
            <v>77:06:0005006</v>
          </cell>
        </row>
        <row r="1032">
          <cell r="B1032" t="str">
            <v>77:06:0005007</v>
          </cell>
        </row>
        <row r="1033">
          <cell r="B1033" t="str">
            <v>77:06:0005008</v>
          </cell>
        </row>
        <row r="1034">
          <cell r="B1034" t="str">
            <v>77:06:0005009</v>
          </cell>
        </row>
        <row r="1035">
          <cell r="B1035" t="str">
            <v>77:06:0005010</v>
          </cell>
        </row>
        <row r="1036">
          <cell r="B1036" t="str">
            <v>77:06:0005011</v>
          </cell>
        </row>
        <row r="1037">
          <cell r="B1037" t="str">
            <v>77:06:0005012</v>
          </cell>
        </row>
        <row r="1038">
          <cell r="B1038" t="str">
            <v>77:06:0005013</v>
          </cell>
        </row>
        <row r="1039">
          <cell r="B1039" t="str">
            <v>77:06:0005014</v>
          </cell>
        </row>
        <row r="1040">
          <cell r="B1040" t="str">
            <v>77:06:0005015</v>
          </cell>
        </row>
        <row r="1041">
          <cell r="B1041" t="str">
            <v>77:06:0005016</v>
          </cell>
        </row>
        <row r="1042">
          <cell r="B1042" t="str">
            <v>77:06:0005017</v>
          </cell>
        </row>
        <row r="1043">
          <cell r="B1043" t="str">
            <v>77:06:0005018</v>
          </cell>
        </row>
        <row r="1044">
          <cell r="B1044" t="str">
            <v>77:06:0006001</v>
          </cell>
        </row>
        <row r="1045">
          <cell r="B1045" t="str">
            <v>77:06:0006002</v>
          </cell>
        </row>
        <row r="1046">
          <cell r="B1046" t="str">
            <v>77:06:0006003</v>
          </cell>
        </row>
        <row r="1047">
          <cell r="B1047" t="str">
            <v>77:06:0006004</v>
          </cell>
        </row>
        <row r="1048">
          <cell r="B1048" t="str">
            <v>77:06:0006005</v>
          </cell>
        </row>
        <row r="1049">
          <cell r="B1049" t="str">
            <v>77:06:0007001</v>
          </cell>
        </row>
        <row r="1050">
          <cell r="B1050" t="str">
            <v>77:06:0007002</v>
          </cell>
        </row>
        <row r="1051">
          <cell r="B1051" t="str">
            <v>77:06:0007003</v>
          </cell>
        </row>
        <row r="1052">
          <cell r="B1052" t="str">
            <v>77:06:0007004</v>
          </cell>
        </row>
        <row r="1053">
          <cell r="B1053" t="str">
            <v>77:06:0007005</v>
          </cell>
        </row>
        <row r="1054">
          <cell r="B1054" t="str">
            <v>77:06:0007006</v>
          </cell>
        </row>
        <row r="1055">
          <cell r="B1055" t="str">
            <v>77:06:0007007</v>
          </cell>
        </row>
        <row r="1056">
          <cell r="B1056" t="str">
            <v>77:06:0007008</v>
          </cell>
        </row>
        <row r="1057">
          <cell r="B1057" t="str">
            <v>77:06:0007009</v>
          </cell>
        </row>
        <row r="1058">
          <cell r="B1058" t="str">
            <v>77:06:0008001</v>
          </cell>
        </row>
        <row r="1059">
          <cell r="B1059" t="str">
            <v>77:06:0008002</v>
          </cell>
        </row>
        <row r="1060">
          <cell r="B1060" t="str">
            <v>77:06:0008003</v>
          </cell>
        </row>
        <row r="1061">
          <cell r="B1061" t="str">
            <v>77:06:0008004</v>
          </cell>
        </row>
        <row r="1062">
          <cell r="B1062" t="str">
            <v>77:06:0008005</v>
          </cell>
        </row>
        <row r="1063">
          <cell r="B1063" t="str">
            <v>77:06:0008006</v>
          </cell>
        </row>
        <row r="1064">
          <cell r="B1064" t="str">
            <v>77:06:0008007</v>
          </cell>
        </row>
        <row r="1065">
          <cell r="B1065" t="str">
            <v>77:06:0008008</v>
          </cell>
        </row>
        <row r="1066">
          <cell r="B1066" t="str">
            <v>77:06:0008009</v>
          </cell>
        </row>
        <row r="1067">
          <cell r="B1067" t="str">
            <v>77:06:0008010</v>
          </cell>
        </row>
        <row r="1068">
          <cell r="B1068" t="str">
            <v>77:06:0008011</v>
          </cell>
        </row>
        <row r="1069">
          <cell r="B1069" t="str">
            <v>77:06:0009001</v>
          </cell>
        </row>
        <row r="1070">
          <cell r="B1070" t="str">
            <v>77:06:0009002</v>
          </cell>
        </row>
        <row r="1071">
          <cell r="B1071" t="str">
            <v>77:06:0009003</v>
          </cell>
        </row>
        <row r="1072">
          <cell r="B1072" t="str">
            <v>77:06:0009004</v>
          </cell>
        </row>
        <row r="1073">
          <cell r="B1073" t="str">
            <v>77:06:0009005</v>
          </cell>
        </row>
        <row r="1074">
          <cell r="B1074" t="str">
            <v>77:06:0009006</v>
          </cell>
        </row>
        <row r="1075">
          <cell r="B1075" t="str">
            <v>77:06:0009007</v>
          </cell>
        </row>
        <row r="1076">
          <cell r="B1076" t="str">
            <v>77:06:0009008</v>
          </cell>
        </row>
        <row r="1077">
          <cell r="B1077" t="str">
            <v>77:06:0009009</v>
          </cell>
        </row>
        <row r="1078">
          <cell r="B1078" t="str">
            <v>77:06:0009010</v>
          </cell>
        </row>
        <row r="1079">
          <cell r="B1079" t="str">
            <v>77:06:0009011</v>
          </cell>
        </row>
        <row r="1080">
          <cell r="B1080" t="str">
            <v>77:06:0010001</v>
          </cell>
        </row>
        <row r="1081">
          <cell r="B1081" t="str">
            <v>77:06:0011001</v>
          </cell>
        </row>
        <row r="1082">
          <cell r="B1082" t="str">
            <v>77:06:0011002</v>
          </cell>
        </row>
        <row r="1083">
          <cell r="B1083" t="str">
            <v>77:06:0011003</v>
          </cell>
        </row>
        <row r="1084">
          <cell r="B1084" t="str">
            <v>77:06:0011004</v>
          </cell>
        </row>
        <row r="1085">
          <cell r="B1085" t="str">
            <v>77:06:0011005</v>
          </cell>
        </row>
        <row r="1086">
          <cell r="B1086" t="str">
            <v>77:06:0011006</v>
          </cell>
        </row>
        <row r="1087">
          <cell r="B1087" t="str">
            <v>77:06:0011007</v>
          </cell>
        </row>
        <row r="1088">
          <cell r="B1088" t="str">
            <v>77:06:0011008</v>
          </cell>
        </row>
        <row r="1089">
          <cell r="B1089" t="str">
            <v>77:06:0011009</v>
          </cell>
        </row>
        <row r="1090">
          <cell r="B1090" t="str">
            <v>77:06:0011010</v>
          </cell>
        </row>
        <row r="1091">
          <cell r="B1091" t="str">
            <v>77:06:0011011</v>
          </cell>
        </row>
        <row r="1092">
          <cell r="B1092" t="str">
            <v>77:06:0011012</v>
          </cell>
        </row>
        <row r="1093">
          <cell r="B1093" t="str">
            <v>77:06:0012001</v>
          </cell>
        </row>
        <row r="1094">
          <cell r="B1094" t="str">
            <v>77:06:0012002</v>
          </cell>
        </row>
        <row r="1095">
          <cell r="B1095" t="str">
            <v>77:06:0012003</v>
          </cell>
        </row>
        <row r="1096">
          <cell r="B1096" t="str">
            <v>77:06:0012004</v>
          </cell>
        </row>
        <row r="1097">
          <cell r="B1097" t="str">
            <v>77:06:0012005</v>
          </cell>
        </row>
        <row r="1098">
          <cell r="B1098" t="str">
            <v>77:06:0012006</v>
          </cell>
        </row>
        <row r="1099">
          <cell r="B1099" t="str">
            <v>77:06:0012007</v>
          </cell>
        </row>
        <row r="1100">
          <cell r="B1100" t="str">
            <v>77:06:0012008</v>
          </cell>
        </row>
        <row r="1101">
          <cell r="B1101" t="str">
            <v>77:06:0012009</v>
          </cell>
        </row>
        <row r="1102">
          <cell r="B1102" t="str">
            <v>77:06:0012010</v>
          </cell>
        </row>
        <row r="1103">
          <cell r="B1103" t="str">
            <v>77:06:0012011</v>
          </cell>
        </row>
        <row r="1104">
          <cell r="B1104" t="str">
            <v>77:06:0012012</v>
          </cell>
        </row>
        <row r="1105">
          <cell r="B1105" t="str">
            <v>77:06:0012013</v>
          </cell>
        </row>
        <row r="1106">
          <cell r="B1106" t="str">
            <v>77:06:0012014</v>
          </cell>
        </row>
        <row r="1107">
          <cell r="B1107" t="str">
            <v>77:06:0012015</v>
          </cell>
        </row>
        <row r="1108">
          <cell r="B1108" t="str">
            <v>77:06:0012016</v>
          </cell>
        </row>
        <row r="1109">
          <cell r="B1109" t="str">
            <v>77:06:0012017</v>
          </cell>
        </row>
        <row r="1110">
          <cell r="B1110" t="str">
            <v>77:06:0012018</v>
          </cell>
        </row>
        <row r="1111">
          <cell r="B1111" t="str">
            <v>77:06:0012019</v>
          </cell>
        </row>
        <row r="1112">
          <cell r="B1112" t="str">
            <v>77:06:0012020</v>
          </cell>
        </row>
        <row r="1113">
          <cell r="B1113" t="str">
            <v>77:07:0001001</v>
          </cell>
        </row>
        <row r="1114">
          <cell r="B1114" t="str">
            <v>77:07:0001002</v>
          </cell>
        </row>
        <row r="1115">
          <cell r="B1115" t="str">
            <v>77:07:0001003</v>
          </cell>
        </row>
        <row r="1116">
          <cell r="B1116" t="str">
            <v>77:07:0001004</v>
          </cell>
        </row>
        <row r="1117">
          <cell r="B1117" t="str">
            <v>77:07:0002001</v>
          </cell>
        </row>
        <row r="1118">
          <cell r="B1118" t="str">
            <v>77:07:0002002</v>
          </cell>
        </row>
        <row r="1119">
          <cell r="B1119" t="str">
            <v>77:07:0002003</v>
          </cell>
        </row>
        <row r="1120">
          <cell r="B1120" t="str">
            <v>77:07:0002004</v>
          </cell>
        </row>
        <row r="1121">
          <cell r="B1121" t="str">
            <v>77:07:0003001</v>
          </cell>
        </row>
        <row r="1122">
          <cell r="B1122" t="str">
            <v>77:07:0003002</v>
          </cell>
        </row>
        <row r="1123">
          <cell r="B1123" t="str">
            <v>77:07:0003003</v>
          </cell>
        </row>
        <row r="1124">
          <cell r="B1124" t="str">
            <v>77:07:0004001</v>
          </cell>
        </row>
        <row r="1125">
          <cell r="B1125" t="str">
            <v>77:07:0004002</v>
          </cell>
        </row>
        <row r="1126">
          <cell r="B1126" t="str">
            <v>77:07:0004003</v>
          </cell>
        </row>
        <row r="1127">
          <cell r="B1127" t="str">
            <v>77:07:0004004</v>
          </cell>
        </row>
        <row r="1128">
          <cell r="B1128" t="str">
            <v>77:07:0004005</v>
          </cell>
        </row>
        <row r="1129">
          <cell r="B1129" t="str">
            <v>77:07:0004006</v>
          </cell>
        </row>
        <row r="1130">
          <cell r="B1130" t="str">
            <v>77:07:0004007</v>
          </cell>
        </row>
        <row r="1131">
          <cell r="B1131" t="str">
            <v>77:07:0004008</v>
          </cell>
        </row>
        <row r="1132">
          <cell r="B1132" t="str">
            <v>77:07:0004009</v>
          </cell>
        </row>
        <row r="1133">
          <cell r="B1133" t="str">
            <v>77:07:0004010</v>
          </cell>
        </row>
        <row r="1134">
          <cell r="B1134" t="str">
            <v>77:07:0005001</v>
          </cell>
        </row>
        <row r="1135">
          <cell r="B1135" t="str">
            <v>77:07:0005002</v>
          </cell>
        </row>
        <row r="1136">
          <cell r="B1136" t="str">
            <v>77:07:0005003</v>
          </cell>
        </row>
        <row r="1137">
          <cell r="B1137" t="str">
            <v>77:07:0005004</v>
          </cell>
        </row>
        <row r="1138">
          <cell r="B1138" t="str">
            <v>77:07:0005005</v>
          </cell>
        </row>
        <row r="1139">
          <cell r="B1139" t="str">
            <v>77:07:0005006</v>
          </cell>
        </row>
        <row r="1140">
          <cell r="B1140" t="str">
            <v>77:07:0005007</v>
          </cell>
        </row>
        <row r="1141">
          <cell r="B1141" t="str">
            <v>77:07:0005008</v>
          </cell>
        </row>
        <row r="1142">
          <cell r="B1142" t="str">
            <v>77:07:0005009</v>
          </cell>
        </row>
        <row r="1143">
          <cell r="B1143" t="str">
            <v>77:07:0005010</v>
          </cell>
        </row>
        <row r="1144">
          <cell r="B1144" t="str">
            <v>77:07:0005011</v>
          </cell>
        </row>
        <row r="1145">
          <cell r="B1145" t="str">
            <v>77:07:0006001</v>
          </cell>
        </row>
        <row r="1146">
          <cell r="B1146" t="str">
            <v>77:07:0006002</v>
          </cell>
        </row>
        <row r="1147">
          <cell r="B1147" t="str">
            <v>77:07:0006003</v>
          </cell>
        </row>
        <row r="1148">
          <cell r="B1148" t="str">
            <v>77:07:0006004</v>
          </cell>
        </row>
        <row r="1149">
          <cell r="B1149" t="str">
            <v>77:07:0006005</v>
          </cell>
        </row>
        <row r="1150">
          <cell r="B1150" t="str">
            <v>77:07:0006006</v>
          </cell>
        </row>
        <row r="1151">
          <cell r="B1151" t="str">
            <v>77:07:0006007</v>
          </cell>
        </row>
        <row r="1152">
          <cell r="B1152" t="str">
            <v>77:07:0007001</v>
          </cell>
        </row>
        <row r="1153">
          <cell r="B1153" t="str">
            <v>77:07:0007002</v>
          </cell>
        </row>
        <row r="1154">
          <cell r="B1154" t="str">
            <v>77:07:0007003</v>
          </cell>
        </row>
        <row r="1155">
          <cell r="B1155" t="str">
            <v>77:07:0007004</v>
          </cell>
        </row>
        <row r="1156">
          <cell r="B1156" t="str">
            <v>77:07:0007005</v>
          </cell>
        </row>
        <row r="1157">
          <cell r="B1157" t="str">
            <v>77:07:0007006</v>
          </cell>
        </row>
        <row r="1158">
          <cell r="B1158" t="str">
            <v>77:07:0007007</v>
          </cell>
        </row>
        <row r="1159">
          <cell r="B1159" t="str">
            <v>77:07:0008001</v>
          </cell>
        </row>
        <row r="1160">
          <cell r="B1160" t="str">
            <v>77:07:0008002</v>
          </cell>
        </row>
        <row r="1161">
          <cell r="B1161" t="str">
            <v>77:07:0008003</v>
          </cell>
        </row>
        <row r="1162">
          <cell r="B1162" t="str">
            <v>77:07:0008004</v>
          </cell>
        </row>
        <row r="1163">
          <cell r="B1163" t="str">
            <v>77:07:0008005</v>
          </cell>
        </row>
        <row r="1164">
          <cell r="B1164" t="str">
            <v>77:07:0008006</v>
          </cell>
        </row>
        <row r="1165">
          <cell r="B1165" t="str">
            <v>77:07:0008007</v>
          </cell>
        </row>
        <row r="1166">
          <cell r="B1166" t="str">
            <v>77:07:0009001</v>
          </cell>
        </row>
        <row r="1167">
          <cell r="B1167" t="str">
            <v>77:07:0009002</v>
          </cell>
        </row>
        <row r="1168">
          <cell r="B1168" t="str">
            <v>77:07:0009003</v>
          </cell>
        </row>
        <row r="1169">
          <cell r="B1169" t="str">
            <v>77:07:0009004</v>
          </cell>
        </row>
        <row r="1170">
          <cell r="B1170" t="str">
            <v>77:07:0009005</v>
          </cell>
        </row>
        <row r="1171">
          <cell r="B1171" t="str">
            <v>77:07:0009006</v>
          </cell>
        </row>
        <row r="1172">
          <cell r="B1172" t="str">
            <v>77:07:0009007</v>
          </cell>
        </row>
        <row r="1173">
          <cell r="B1173" t="str">
            <v>77:07:0010001</v>
          </cell>
        </row>
        <row r="1174">
          <cell r="B1174" t="str">
            <v>77:07:0010002</v>
          </cell>
        </row>
        <row r="1175">
          <cell r="B1175" t="str">
            <v>77:07:0010003</v>
          </cell>
        </row>
        <row r="1176">
          <cell r="B1176" t="str">
            <v>77:07:0010004</v>
          </cell>
        </row>
        <row r="1177">
          <cell r="B1177" t="str">
            <v>77:07:0010005</v>
          </cell>
        </row>
        <row r="1178">
          <cell r="B1178" t="str">
            <v>77:07:0010006</v>
          </cell>
        </row>
        <row r="1179">
          <cell r="B1179" t="str">
            <v>77:07:0010007</v>
          </cell>
        </row>
        <row r="1180">
          <cell r="B1180" t="str">
            <v>77:07:0012001</v>
          </cell>
        </row>
        <row r="1181">
          <cell r="B1181" t="str">
            <v>77:07:0012002</v>
          </cell>
        </row>
        <row r="1182">
          <cell r="B1182" t="str">
            <v>77:07:0012003</v>
          </cell>
        </row>
        <row r="1183">
          <cell r="B1183" t="str">
            <v>77:07:0012004</v>
          </cell>
        </row>
        <row r="1184">
          <cell r="B1184" t="str">
            <v>77:07:0012005</v>
          </cell>
        </row>
        <row r="1185">
          <cell r="B1185" t="str">
            <v>77:07:0012006</v>
          </cell>
        </row>
        <row r="1186">
          <cell r="B1186" t="str">
            <v>77:07:0012007</v>
          </cell>
        </row>
        <row r="1187">
          <cell r="B1187" t="str">
            <v>77:07:0012008</v>
          </cell>
        </row>
        <row r="1188">
          <cell r="B1188" t="str">
            <v>77:07:0012009</v>
          </cell>
        </row>
        <row r="1189">
          <cell r="B1189" t="str">
            <v>77:07:0012010</v>
          </cell>
        </row>
        <row r="1190">
          <cell r="B1190" t="str">
            <v>77:07:0012011</v>
          </cell>
        </row>
        <row r="1191">
          <cell r="B1191" t="str">
            <v>77:07:0012012</v>
          </cell>
        </row>
        <row r="1192">
          <cell r="B1192" t="str">
            <v>77:07:0013001</v>
          </cell>
        </row>
        <row r="1193">
          <cell r="B1193" t="str">
            <v>77:07:0013002</v>
          </cell>
        </row>
        <row r="1194">
          <cell r="B1194" t="str">
            <v>77:07:0013003</v>
          </cell>
        </row>
        <row r="1195">
          <cell r="B1195" t="str">
            <v>77:07:0013004</v>
          </cell>
        </row>
        <row r="1196">
          <cell r="B1196" t="str">
            <v>77:07:0013005</v>
          </cell>
        </row>
        <row r="1197">
          <cell r="B1197" t="str">
            <v>77:07:0013006</v>
          </cell>
        </row>
        <row r="1198">
          <cell r="B1198" t="str">
            <v>77:07:0013007</v>
          </cell>
        </row>
        <row r="1199">
          <cell r="B1199" t="str">
            <v>77:07:0014001</v>
          </cell>
        </row>
        <row r="1200">
          <cell r="B1200" t="str">
            <v>77:07:0014002</v>
          </cell>
        </row>
        <row r="1201">
          <cell r="B1201" t="str">
            <v>77:07:0014003</v>
          </cell>
        </row>
        <row r="1202">
          <cell r="B1202" t="str">
            <v>77:07:0014004</v>
          </cell>
        </row>
        <row r="1203">
          <cell r="B1203" t="str">
            <v>77:07:0014005</v>
          </cell>
        </row>
        <row r="1204">
          <cell r="B1204" t="str">
            <v>77:07:0014006</v>
          </cell>
        </row>
        <row r="1205">
          <cell r="B1205" t="str">
            <v>77:07:0014007</v>
          </cell>
        </row>
        <row r="1206">
          <cell r="B1206" t="str">
            <v>77:07:0014008</v>
          </cell>
        </row>
        <row r="1207">
          <cell r="B1207" t="str">
            <v>77:07:0014009</v>
          </cell>
        </row>
        <row r="1208">
          <cell r="B1208" t="str">
            <v>77:07:0014010</v>
          </cell>
        </row>
        <row r="1209">
          <cell r="B1209" t="str">
            <v>77:07:0015001</v>
          </cell>
        </row>
        <row r="1210">
          <cell r="B1210" t="str">
            <v>77:07:0015002</v>
          </cell>
        </row>
        <row r="1211">
          <cell r="B1211" t="str">
            <v>77:07:0015003</v>
          </cell>
        </row>
        <row r="1212">
          <cell r="B1212" t="str">
            <v>77:07:0015004</v>
          </cell>
        </row>
        <row r="1213">
          <cell r="B1213" t="str">
            <v>77:07:0015005</v>
          </cell>
        </row>
        <row r="1214">
          <cell r="B1214" t="str">
            <v>77:07:0015006</v>
          </cell>
        </row>
        <row r="1215">
          <cell r="B1215" t="str">
            <v>77:07:0015007</v>
          </cell>
        </row>
        <row r="1216">
          <cell r="B1216" t="str">
            <v>77:07:0015008</v>
          </cell>
        </row>
        <row r="1217">
          <cell r="B1217" t="str">
            <v>77:07:0015009</v>
          </cell>
        </row>
        <row r="1218">
          <cell r="B1218" t="str">
            <v>77:07:0015010</v>
          </cell>
        </row>
        <row r="1219">
          <cell r="B1219" t="str">
            <v>77:07:0016001</v>
          </cell>
        </row>
        <row r="1220">
          <cell r="B1220" t="str">
            <v>77:07:0016002</v>
          </cell>
        </row>
        <row r="1221">
          <cell r="B1221" t="str">
            <v>77:07:0016003</v>
          </cell>
        </row>
        <row r="1222">
          <cell r="B1222" t="str">
            <v>77:07:0016004</v>
          </cell>
        </row>
        <row r="1223">
          <cell r="B1223" t="str">
            <v>77:07:0016005</v>
          </cell>
        </row>
        <row r="1224">
          <cell r="B1224" t="str">
            <v>77:07:0017001</v>
          </cell>
        </row>
        <row r="1225">
          <cell r="B1225" t="str">
            <v>77:07:0017002</v>
          </cell>
        </row>
        <row r="1226">
          <cell r="B1226" t="str">
            <v>77:07:0017003</v>
          </cell>
        </row>
        <row r="1227">
          <cell r="B1227" t="str">
            <v>77:07:0018001</v>
          </cell>
        </row>
        <row r="1228">
          <cell r="B1228" t="str">
            <v>77:07:0018002</v>
          </cell>
        </row>
        <row r="1229">
          <cell r="B1229" t="str">
            <v>77:07:0018003</v>
          </cell>
        </row>
        <row r="1230">
          <cell r="B1230" t="str">
            <v>77:07:0019001</v>
          </cell>
        </row>
        <row r="1231">
          <cell r="B1231" t="str">
            <v>77:08:0001002</v>
          </cell>
        </row>
        <row r="1232">
          <cell r="B1232" t="str">
            <v>77:08:0001003</v>
          </cell>
        </row>
        <row r="1233">
          <cell r="B1233" t="str">
            <v>77:08:0001005</v>
          </cell>
        </row>
        <row r="1234">
          <cell r="B1234" t="str">
            <v>77:08:0001006</v>
          </cell>
        </row>
        <row r="1235">
          <cell r="B1235" t="str">
            <v>77:08:0001007</v>
          </cell>
        </row>
        <row r="1236">
          <cell r="B1236" t="str">
            <v>77:08:0001008</v>
          </cell>
        </row>
        <row r="1237">
          <cell r="B1237" t="str">
            <v>77:08:0001009</v>
          </cell>
        </row>
        <row r="1238">
          <cell r="B1238" t="str">
            <v>77:08:0001010</v>
          </cell>
        </row>
        <row r="1239">
          <cell r="B1239" t="str">
            <v>77:08:0001011</v>
          </cell>
        </row>
        <row r="1240">
          <cell r="B1240" t="str">
            <v>77:08:0001012</v>
          </cell>
        </row>
        <row r="1241">
          <cell r="B1241" t="str">
            <v>77:08:0001013</v>
          </cell>
        </row>
        <row r="1242">
          <cell r="B1242" t="str">
            <v>77:08:0001014</v>
          </cell>
        </row>
        <row r="1243">
          <cell r="B1243" t="str">
            <v>77:08:0001015</v>
          </cell>
        </row>
        <row r="1244">
          <cell r="B1244" t="str">
            <v>77:08:0002002</v>
          </cell>
        </row>
        <row r="1245">
          <cell r="B1245" t="str">
            <v>77:08:0002003</v>
          </cell>
        </row>
        <row r="1246">
          <cell r="B1246" t="str">
            <v>77:08:0002004</v>
          </cell>
        </row>
        <row r="1247">
          <cell r="B1247" t="str">
            <v>77:08:0002005</v>
          </cell>
        </row>
        <row r="1248">
          <cell r="B1248" t="str">
            <v>77:08:0002006</v>
          </cell>
        </row>
        <row r="1249">
          <cell r="B1249" t="str">
            <v>77:08:0002007</v>
          </cell>
        </row>
        <row r="1250">
          <cell r="B1250" t="str">
            <v>77:08:0002008</v>
          </cell>
        </row>
        <row r="1251">
          <cell r="B1251" t="str">
            <v>77:08:0002009</v>
          </cell>
        </row>
        <row r="1252">
          <cell r="B1252" t="str">
            <v>77:08:0002010</v>
          </cell>
        </row>
        <row r="1253">
          <cell r="B1253" t="str">
            <v>77:08:0002012</v>
          </cell>
        </row>
        <row r="1254">
          <cell r="B1254" t="str">
            <v>77:08:0002013</v>
          </cell>
        </row>
        <row r="1255">
          <cell r="B1255" t="str">
            <v>77:08:0002014</v>
          </cell>
        </row>
        <row r="1256">
          <cell r="B1256" t="str">
            <v>77:08:0002015</v>
          </cell>
        </row>
        <row r="1257">
          <cell r="B1257" t="str">
            <v>77:08:0002016</v>
          </cell>
        </row>
        <row r="1258">
          <cell r="B1258" t="str">
            <v>77:08:0002017</v>
          </cell>
        </row>
        <row r="1259">
          <cell r="B1259" t="str">
            <v>77:08:0002018</v>
          </cell>
        </row>
        <row r="1260">
          <cell r="B1260" t="str">
            <v>77:08:0002019</v>
          </cell>
        </row>
        <row r="1261">
          <cell r="B1261" t="str">
            <v>77:08:0002020</v>
          </cell>
        </row>
        <row r="1262">
          <cell r="B1262" t="str">
            <v>77:08:0002021</v>
          </cell>
        </row>
        <row r="1263">
          <cell r="B1263" t="str">
            <v>77:08:0002022</v>
          </cell>
        </row>
        <row r="1264">
          <cell r="B1264" t="str">
            <v>77:08:0002023</v>
          </cell>
        </row>
        <row r="1265">
          <cell r="B1265" t="str">
            <v>77:08:0003001</v>
          </cell>
        </row>
        <row r="1266">
          <cell r="B1266" t="str">
            <v>77:08:0003002</v>
          </cell>
        </row>
        <row r="1267">
          <cell r="B1267" t="str">
            <v>77:08:0003003</v>
          </cell>
        </row>
        <row r="1268">
          <cell r="B1268" t="str">
            <v>77:08:0003004</v>
          </cell>
        </row>
        <row r="1269">
          <cell r="B1269" t="str">
            <v>77:08:0003005</v>
          </cell>
        </row>
        <row r="1270">
          <cell r="B1270" t="str">
            <v>77:08:0003006</v>
          </cell>
        </row>
        <row r="1271">
          <cell r="B1271" t="str">
            <v>77:08:0003007</v>
          </cell>
        </row>
        <row r="1272">
          <cell r="B1272" t="str">
            <v>77:08:0003008</v>
          </cell>
        </row>
        <row r="1273">
          <cell r="B1273" t="str">
            <v>77:08:0003009</v>
          </cell>
        </row>
        <row r="1274">
          <cell r="B1274" t="str">
            <v>77:08:0004001</v>
          </cell>
        </row>
        <row r="1275">
          <cell r="B1275" t="str">
            <v>77:08:0004002</v>
          </cell>
        </row>
        <row r="1276">
          <cell r="B1276" t="str">
            <v>77:08:0004003</v>
          </cell>
        </row>
        <row r="1277">
          <cell r="B1277" t="str">
            <v>77:08:0004004</v>
          </cell>
        </row>
        <row r="1278">
          <cell r="B1278" t="str">
            <v>77:08:0004005</v>
          </cell>
        </row>
        <row r="1279">
          <cell r="B1279" t="str">
            <v>77:08:0004006</v>
          </cell>
        </row>
        <row r="1280">
          <cell r="B1280" t="str">
            <v>77:08:0004007</v>
          </cell>
        </row>
        <row r="1281">
          <cell r="B1281" t="str">
            <v>77:08:0004008</v>
          </cell>
        </row>
        <row r="1282">
          <cell r="B1282" t="str">
            <v>77:08:0004009</v>
          </cell>
        </row>
        <row r="1283">
          <cell r="B1283" t="str">
            <v>77:08:0004010</v>
          </cell>
        </row>
        <row r="1284">
          <cell r="B1284" t="str">
            <v>77:08:0004011</v>
          </cell>
        </row>
        <row r="1285">
          <cell r="B1285" t="str">
            <v>77:08:0004012</v>
          </cell>
        </row>
        <row r="1286">
          <cell r="B1286" t="str">
            <v>77:08:0004013</v>
          </cell>
        </row>
        <row r="1287">
          <cell r="B1287" t="str">
            <v>77:08:0004014</v>
          </cell>
        </row>
        <row r="1288">
          <cell r="B1288" t="str">
            <v>77:08:0004015</v>
          </cell>
        </row>
        <row r="1289">
          <cell r="B1289" t="str">
            <v>77:08:0004016</v>
          </cell>
        </row>
        <row r="1290">
          <cell r="B1290" t="str">
            <v>77:08:0004017</v>
          </cell>
        </row>
        <row r="1291">
          <cell r="B1291" t="str">
            <v>77:08:0005001</v>
          </cell>
        </row>
        <row r="1292">
          <cell r="B1292" t="str">
            <v>77:08:0005002</v>
          </cell>
        </row>
        <row r="1293">
          <cell r="B1293" t="str">
            <v>77:08:0005003</v>
          </cell>
        </row>
        <row r="1294">
          <cell r="B1294" t="str">
            <v>77:08:0005004</v>
          </cell>
        </row>
        <row r="1295">
          <cell r="B1295" t="str">
            <v>77:08:0005005</v>
          </cell>
        </row>
        <row r="1296">
          <cell r="B1296" t="str">
            <v>77:08:0005006</v>
          </cell>
        </row>
        <row r="1297">
          <cell r="B1297" t="str">
            <v>77:08:0005007</v>
          </cell>
        </row>
        <row r="1298">
          <cell r="B1298" t="str">
            <v>77:08:0005008</v>
          </cell>
        </row>
        <row r="1299">
          <cell r="B1299" t="str">
            <v>77:08:0005009</v>
          </cell>
        </row>
        <row r="1300">
          <cell r="B1300" t="str">
            <v>77:08:0005010</v>
          </cell>
        </row>
        <row r="1301">
          <cell r="B1301" t="str">
            <v>77:08:0005011</v>
          </cell>
        </row>
        <row r="1302">
          <cell r="B1302" t="str">
            <v>77:08:0006001</v>
          </cell>
        </row>
        <row r="1303">
          <cell r="B1303" t="str">
            <v>77:08:0006002</v>
          </cell>
        </row>
        <row r="1304">
          <cell r="B1304" t="str">
            <v>77:08:0006003</v>
          </cell>
        </row>
        <row r="1305">
          <cell r="B1305" t="str">
            <v>77:08:0006004</v>
          </cell>
        </row>
        <row r="1306">
          <cell r="B1306" t="str">
            <v>77:08:0006005</v>
          </cell>
        </row>
        <row r="1307">
          <cell r="B1307" t="str">
            <v>77:08:0006006</v>
          </cell>
        </row>
        <row r="1308">
          <cell r="B1308" t="str">
            <v>77:08:0006007</v>
          </cell>
        </row>
        <row r="1309">
          <cell r="B1309" t="str">
            <v>77:08:0006008</v>
          </cell>
        </row>
        <row r="1310">
          <cell r="B1310" t="str">
            <v>77:08:0006009</v>
          </cell>
        </row>
        <row r="1311">
          <cell r="B1311" t="str">
            <v>77:08:0006010</v>
          </cell>
        </row>
        <row r="1312">
          <cell r="B1312" t="str">
            <v>77:08:0006011</v>
          </cell>
        </row>
        <row r="1313">
          <cell r="B1313" t="str">
            <v>77:08:0006012</v>
          </cell>
        </row>
        <row r="1314">
          <cell r="B1314" t="str">
            <v>77:08:0006013</v>
          </cell>
        </row>
        <row r="1315">
          <cell r="B1315" t="str">
            <v>77:08:0006014</v>
          </cell>
        </row>
        <row r="1316">
          <cell r="B1316" t="str">
            <v>77:08:0006015</v>
          </cell>
        </row>
        <row r="1317">
          <cell r="B1317" t="str">
            <v>77:08:0007001</v>
          </cell>
        </row>
        <row r="1318">
          <cell r="B1318" t="str">
            <v>77:08:0007002</v>
          </cell>
        </row>
        <row r="1319">
          <cell r="B1319" t="str">
            <v>77:08:0007003</v>
          </cell>
        </row>
        <row r="1320">
          <cell r="B1320" t="str">
            <v>77:08:0007004</v>
          </cell>
        </row>
        <row r="1321">
          <cell r="B1321" t="str">
            <v>77:08:0007005</v>
          </cell>
        </row>
        <row r="1322">
          <cell r="B1322" t="str">
            <v>77:08:0007006</v>
          </cell>
        </row>
        <row r="1323">
          <cell r="B1323" t="str">
            <v>77:08:0007007</v>
          </cell>
        </row>
        <row r="1324">
          <cell r="B1324" t="str">
            <v>77:08:0007008</v>
          </cell>
        </row>
        <row r="1325">
          <cell r="B1325" t="str">
            <v>77:08:0007009</v>
          </cell>
        </row>
        <row r="1326">
          <cell r="B1326" t="str">
            <v>77:08:0007010</v>
          </cell>
        </row>
        <row r="1327">
          <cell r="B1327" t="str">
            <v>77:08:0008001</v>
          </cell>
        </row>
        <row r="1328">
          <cell r="B1328" t="str">
            <v>77:08:0008002</v>
          </cell>
        </row>
        <row r="1329">
          <cell r="B1329" t="str">
            <v>77:08:0008003</v>
          </cell>
        </row>
        <row r="1330">
          <cell r="B1330" t="str">
            <v>77:08:0008004</v>
          </cell>
        </row>
        <row r="1331">
          <cell r="B1331" t="str">
            <v>77:08:0008005</v>
          </cell>
        </row>
        <row r="1332">
          <cell r="B1332" t="str">
            <v>77:08:0008006</v>
          </cell>
        </row>
        <row r="1333">
          <cell r="B1333" t="str">
            <v>77:08:0008007</v>
          </cell>
        </row>
        <row r="1334">
          <cell r="B1334" t="str">
            <v>77:08:0008008</v>
          </cell>
        </row>
        <row r="1335">
          <cell r="B1335" t="str">
            <v>77:08:0008009</v>
          </cell>
        </row>
        <row r="1336">
          <cell r="B1336" t="str">
            <v>77:08:0008010</v>
          </cell>
        </row>
        <row r="1337">
          <cell r="B1337" t="str">
            <v>77:08:0008011</v>
          </cell>
        </row>
        <row r="1338">
          <cell r="B1338" t="str">
            <v>77:08:0008012</v>
          </cell>
        </row>
        <row r="1339">
          <cell r="B1339" t="str">
            <v>77:08:0009001</v>
          </cell>
        </row>
        <row r="1340">
          <cell r="B1340" t="str">
            <v>77:08:0009002</v>
          </cell>
        </row>
        <row r="1341">
          <cell r="B1341" t="str">
            <v>77:08:0009003</v>
          </cell>
        </row>
        <row r="1342">
          <cell r="B1342" t="str">
            <v>77:08:0009004</v>
          </cell>
        </row>
        <row r="1343">
          <cell r="B1343" t="str">
            <v>77:08:0009005</v>
          </cell>
        </row>
        <row r="1344">
          <cell r="B1344" t="str">
            <v>77:08:0009006</v>
          </cell>
        </row>
        <row r="1345">
          <cell r="B1345" t="str">
            <v>77:08:0009007</v>
          </cell>
        </row>
        <row r="1346">
          <cell r="B1346" t="str">
            <v>77:08:0009008</v>
          </cell>
        </row>
        <row r="1347">
          <cell r="B1347" t="str">
            <v>77:08:0009009</v>
          </cell>
        </row>
        <row r="1348">
          <cell r="B1348" t="str">
            <v>77:08:0009010</v>
          </cell>
        </row>
        <row r="1349">
          <cell r="B1349" t="str">
            <v>77:08:0009011</v>
          </cell>
        </row>
        <row r="1350">
          <cell r="B1350" t="str">
            <v>77:08:0009012</v>
          </cell>
        </row>
        <row r="1351">
          <cell r="B1351" t="str">
            <v>77:08:0009013</v>
          </cell>
        </row>
        <row r="1352">
          <cell r="B1352" t="str">
            <v>77:08:0009014</v>
          </cell>
        </row>
        <row r="1353">
          <cell r="B1353" t="str">
            <v>77:08:0009015</v>
          </cell>
        </row>
        <row r="1354">
          <cell r="B1354" t="str">
            <v>77:08:0009016</v>
          </cell>
        </row>
        <row r="1355">
          <cell r="B1355" t="str">
            <v>77:08:0009017</v>
          </cell>
        </row>
        <row r="1356">
          <cell r="B1356" t="str">
            <v>77:08:0009018</v>
          </cell>
        </row>
        <row r="1357">
          <cell r="B1357" t="str">
            <v>77:08:0009019</v>
          </cell>
        </row>
        <row r="1358">
          <cell r="B1358" t="str">
            <v>77:08:0009020</v>
          </cell>
        </row>
        <row r="1359">
          <cell r="B1359" t="str">
            <v>77:08:0009021</v>
          </cell>
        </row>
        <row r="1360">
          <cell r="B1360" t="str">
            <v>77:08:0009022</v>
          </cell>
        </row>
        <row r="1361">
          <cell r="B1361" t="str">
            <v>77:08:0009023</v>
          </cell>
        </row>
        <row r="1362">
          <cell r="B1362" t="str">
            <v>77:08:0009024</v>
          </cell>
        </row>
        <row r="1363">
          <cell r="B1363" t="str">
            <v>77:08:0009025</v>
          </cell>
        </row>
        <row r="1364">
          <cell r="B1364" t="str">
            <v>77:08:0009026</v>
          </cell>
        </row>
        <row r="1365">
          <cell r="B1365" t="str">
            <v>77:08:0009027</v>
          </cell>
        </row>
        <row r="1366">
          <cell r="B1366" t="str">
            <v>77:08:0009028</v>
          </cell>
        </row>
        <row r="1367">
          <cell r="B1367" t="str">
            <v>77:08:0009029</v>
          </cell>
        </row>
        <row r="1368">
          <cell r="B1368" t="str">
            <v>77:08:0009030</v>
          </cell>
        </row>
        <row r="1369">
          <cell r="B1369" t="str">
            <v>77:08:0009031</v>
          </cell>
        </row>
        <row r="1370">
          <cell r="B1370" t="str">
            <v>77:08:0009032</v>
          </cell>
        </row>
        <row r="1371">
          <cell r="B1371" t="str">
            <v>77:08:0009033</v>
          </cell>
        </row>
        <row r="1372">
          <cell r="B1372" t="str">
            <v>77:08:0009034</v>
          </cell>
        </row>
        <row r="1373">
          <cell r="B1373" t="str">
            <v>77:08:0010001</v>
          </cell>
        </row>
        <row r="1374">
          <cell r="B1374" t="str">
            <v>77:08:0010002</v>
          </cell>
        </row>
        <row r="1375">
          <cell r="B1375" t="str">
            <v>77:08:0010003</v>
          </cell>
        </row>
        <row r="1376">
          <cell r="B1376" t="str">
            <v>77:08:0010004</v>
          </cell>
        </row>
        <row r="1377">
          <cell r="B1377" t="str">
            <v>77:08:0010005</v>
          </cell>
        </row>
        <row r="1378">
          <cell r="B1378" t="str">
            <v>77:08:0010006</v>
          </cell>
        </row>
        <row r="1379">
          <cell r="B1379" t="str">
            <v>77:08:0010007</v>
          </cell>
        </row>
        <row r="1380">
          <cell r="B1380" t="str">
            <v>77:08:0010008</v>
          </cell>
        </row>
        <row r="1381">
          <cell r="B1381" t="str">
            <v>77:08:0010009</v>
          </cell>
        </row>
        <row r="1382">
          <cell r="B1382" t="str">
            <v>77:08:0010010</v>
          </cell>
        </row>
        <row r="1383">
          <cell r="B1383" t="str">
            <v>77:08:0010011</v>
          </cell>
        </row>
        <row r="1384">
          <cell r="B1384" t="str">
            <v>77:08:0010012</v>
          </cell>
        </row>
        <row r="1385">
          <cell r="B1385" t="str">
            <v>77:08:0010013</v>
          </cell>
        </row>
        <row r="1386">
          <cell r="B1386" t="str">
            <v>77:08:0010014</v>
          </cell>
        </row>
        <row r="1387">
          <cell r="B1387" t="str">
            <v>77:08:0010015</v>
          </cell>
        </row>
        <row r="1388">
          <cell r="B1388" t="str">
            <v>77:08:0010016</v>
          </cell>
        </row>
        <row r="1389">
          <cell r="B1389" t="str">
            <v>77:08:0010017</v>
          </cell>
        </row>
        <row r="1390">
          <cell r="B1390" t="str">
            <v>77:08:0011001</v>
          </cell>
        </row>
        <row r="1391">
          <cell r="B1391" t="str">
            <v>77:08:0011002</v>
          </cell>
        </row>
        <row r="1392">
          <cell r="B1392" t="str">
            <v>77:08:0011003</v>
          </cell>
        </row>
        <row r="1393">
          <cell r="B1393" t="str">
            <v>77:08:0012001</v>
          </cell>
        </row>
        <row r="1394">
          <cell r="B1394" t="str">
            <v>77:08:0012002</v>
          </cell>
        </row>
        <row r="1395">
          <cell r="B1395" t="str">
            <v>77:08:0012003</v>
          </cell>
        </row>
        <row r="1396">
          <cell r="B1396" t="str">
            <v>77:08:0012004</v>
          </cell>
        </row>
        <row r="1397">
          <cell r="B1397" t="str">
            <v>77:08:0012005</v>
          </cell>
        </row>
        <row r="1398">
          <cell r="B1398" t="str">
            <v>77:08:0013002</v>
          </cell>
        </row>
        <row r="1399">
          <cell r="B1399" t="str">
            <v>77:08:0013004</v>
          </cell>
        </row>
        <row r="1400">
          <cell r="B1400" t="str">
            <v>77:08:0013005</v>
          </cell>
        </row>
        <row r="1401">
          <cell r="B1401" t="str">
            <v>77:08:0013006</v>
          </cell>
        </row>
        <row r="1402">
          <cell r="B1402" t="str">
            <v>77:08:0013007</v>
          </cell>
        </row>
        <row r="1403">
          <cell r="B1403" t="str">
            <v>77:08:0013008</v>
          </cell>
        </row>
        <row r="1404">
          <cell r="B1404" t="str">
            <v>77:08:0013009</v>
          </cell>
        </row>
        <row r="1405">
          <cell r="B1405" t="str">
            <v>77:08:0013010</v>
          </cell>
        </row>
        <row r="1406">
          <cell r="B1406" t="str">
            <v>77:08:0013011</v>
          </cell>
        </row>
        <row r="1407">
          <cell r="B1407" t="str">
            <v>77:08:0013012</v>
          </cell>
        </row>
        <row r="1408">
          <cell r="B1408" t="str">
            <v>77:08:0013013</v>
          </cell>
        </row>
        <row r="1409">
          <cell r="B1409" t="str">
            <v>77:08:0013014</v>
          </cell>
        </row>
        <row r="1410">
          <cell r="B1410" t="str">
            <v>77:08:0014001</v>
          </cell>
        </row>
        <row r="1411">
          <cell r="B1411" t="str">
            <v>77:08:0014002</v>
          </cell>
        </row>
        <row r="1412">
          <cell r="B1412" t="str">
            <v>77:08:0015001</v>
          </cell>
        </row>
        <row r="1413">
          <cell r="B1413" t="str">
            <v>77:08:0015002</v>
          </cell>
        </row>
        <row r="1414">
          <cell r="B1414" t="str">
            <v>77:09:0001001</v>
          </cell>
        </row>
        <row r="1415">
          <cell r="B1415" t="str">
            <v>77:09:0001002</v>
          </cell>
        </row>
        <row r="1416">
          <cell r="B1416" t="str">
            <v>77:09:0001003</v>
          </cell>
        </row>
        <row r="1417">
          <cell r="B1417" t="str">
            <v>77:09:0001004</v>
          </cell>
        </row>
        <row r="1418">
          <cell r="B1418" t="str">
            <v>77:09:0001005</v>
          </cell>
        </row>
        <row r="1419">
          <cell r="B1419" t="str">
            <v>77:09:0001006</v>
          </cell>
        </row>
        <row r="1420">
          <cell r="B1420" t="str">
            <v>77:09:0001007</v>
          </cell>
        </row>
        <row r="1421">
          <cell r="B1421" t="str">
            <v>77:09:0001008</v>
          </cell>
        </row>
        <row r="1422">
          <cell r="B1422" t="str">
            <v>77:09:0001009</v>
          </cell>
        </row>
        <row r="1423">
          <cell r="B1423" t="str">
            <v>77:09:0001010</v>
          </cell>
        </row>
        <row r="1424">
          <cell r="B1424" t="str">
            <v>77:09:0001011</v>
          </cell>
        </row>
        <row r="1425">
          <cell r="B1425" t="str">
            <v>77:09:0001012</v>
          </cell>
        </row>
        <row r="1426">
          <cell r="B1426" t="str">
            <v>77:09:0001013</v>
          </cell>
        </row>
        <row r="1427">
          <cell r="B1427" t="str">
            <v>77:09:0001014</v>
          </cell>
        </row>
        <row r="1428">
          <cell r="B1428" t="str">
            <v>77:09:0001015</v>
          </cell>
        </row>
        <row r="1429">
          <cell r="B1429" t="str">
            <v>77:09:0001016</v>
          </cell>
        </row>
        <row r="1430">
          <cell r="B1430" t="str">
            <v>77:09:0001017</v>
          </cell>
        </row>
        <row r="1431">
          <cell r="B1431" t="str">
            <v>77:09:0001018</v>
          </cell>
        </row>
        <row r="1432">
          <cell r="B1432" t="str">
            <v>77:09:0001019</v>
          </cell>
        </row>
        <row r="1433">
          <cell r="B1433" t="str">
            <v>77:09:0001020</v>
          </cell>
        </row>
        <row r="1434">
          <cell r="B1434" t="str">
            <v>77:09:0001021</v>
          </cell>
        </row>
        <row r="1435">
          <cell r="B1435" t="str">
            <v>77:09:0001022</v>
          </cell>
        </row>
        <row r="1436">
          <cell r="B1436" t="str">
            <v>77:09:0001023</v>
          </cell>
        </row>
        <row r="1437">
          <cell r="B1437" t="str">
            <v>77:09:0001024</v>
          </cell>
        </row>
        <row r="1438">
          <cell r="B1438" t="str">
            <v>77:09:0001025</v>
          </cell>
        </row>
        <row r="1439">
          <cell r="B1439" t="str">
            <v>77:09:0001026</v>
          </cell>
        </row>
        <row r="1440">
          <cell r="B1440" t="str">
            <v>77:09:0001027</v>
          </cell>
        </row>
        <row r="1441">
          <cell r="B1441" t="str">
            <v>77:09:0001028</v>
          </cell>
        </row>
        <row r="1442">
          <cell r="B1442" t="str">
            <v>77:09:0001029</v>
          </cell>
        </row>
        <row r="1443">
          <cell r="B1443" t="str">
            <v>77:09:0001030</v>
          </cell>
        </row>
        <row r="1444">
          <cell r="B1444" t="str">
            <v>77:09:0001031</v>
          </cell>
        </row>
        <row r="1445">
          <cell r="B1445" t="str">
            <v>77:09:0002001</v>
          </cell>
        </row>
        <row r="1446">
          <cell r="B1446" t="str">
            <v>77:09:0002002</v>
          </cell>
        </row>
        <row r="1447">
          <cell r="B1447" t="str">
            <v>77:09:0002003</v>
          </cell>
        </row>
        <row r="1448">
          <cell r="B1448" t="str">
            <v>77:09:0002004</v>
          </cell>
        </row>
        <row r="1449">
          <cell r="B1449" t="str">
            <v>77:09:0002005</v>
          </cell>
        </row>
        <row r="1450">
          <cell r="B1450" t="str">
            <v>77:09:0002006</v>
          </cell>
        </row>
        <row r="1451">
          <cell r="B1451" t="str">
            <v>77:09:0002007</v>
          </cell>
        </row>
        <row r="1452">
          <cell r="B1452" t="str">
            <v>77:09:0002008</v>
          </cell>
        </row>
        <row r="1453">
          <cell r="B1453" t="str">
            <v>77:09:0002009</v>
          </cell>
        </row>
        <row r="1454">
          <cell r="B1454" t="str">
            <v>77:09:0002010</v>
          </cell>
        </row>
        <row r="1455">
          <cell r="B1455" t="str">
            <v>77:09:0002011</v>
          </cell>
        </row>
        <row r="1456">
          <cell r="B1456" t="str">
            <v>77:09:0002012</v>
          </cell>
        </row>
        <row r="1457">
          <cell r="B1457" t="str">
            <v>77:09:0002013</v>
          </cell>
        </row>
        <row r="1458">
          <cell r="B1458" t="str">
            <v>77:09:0002014</v>
          </cell>
        </row>
        <row r="1459">
          <cell r="B1459" t="str">
            <v>77:09:0002015</v>
          </cell>
        </row>
        <row r="1460">
          <cell r="B1460" t="str">
            <v>77:09:0002016</v>
          </cell>
        </row>
        <row r="1461">
          <cell r="B1461" t="str">
            <v>77:09:0002017</v>
          </cell>
        </row>
        <row r="1462">
          <cell r="B1462" t="str">
            <v>77:09:0002018</v>
          </cell>
        </row>
        <row r="1463">
          <cell r="B1463" t="str">
            <v>77:09:0002019</v>
          </cell>
        </row>
        <row r="1464">
          <cell r="B1464" t="str">
            <v>77:09:0002020</v>
          </cell>
        </row>
        <row r="1465">
          <cell r="B1465" t="str">
            <v>77:09:0002021</v>
          </cell>
        </row>
        <row r="1466">
          <cell r="B1466" t="str">
            <v>77:09:0002022</v>
          </cell>
        </row>
        <row r="1467">
          <cell r="B1467" t="str">
            <v>77:09:0002023</v>
          </cell>
        </row>
        <row r="1468">
          <cell r="B1468" t="str">
            <v>77:09:0002024</v>
          </cell>
        </row>
        <row r="1469">
          <cell r="B1469" t="str">
            <v>77:09:0002025</v>
          </cell>
        </row>
        <row r="1470">
          <cell r="B1470" t="str">
            <v>77:09:0002026</v>
          </cell>
        </row>
        <row r="1471">
          <cell r="B1471" t="str">
            <v>77:09:0002027</v>
          </cell>
        </row>
        <row r="1472">
          <cell r="B1472" t="str">
            <v>77:09:0002028</v>
          </cell>
        </row>
        <row r="1473">
          <cell r="B1473" t="str">
            <v>77:09:0002029</v>
          </cell>
        </row>
        <row r="1474">
          <cell r="B1474" t="str">
            <v>77:09:0002030</v>
          </cell>
        </row>
        <row r="1475">
          <cell r="B1475" t="str">
            <v>77:09:0002031</v>
          </cell>
        </row>
        <row r="1476">
          <cell r="B1476" t="str">
            <v>77:09:0002032</v>
          </cell>
        </row>
        <row r="1477">
          <cell r="B1477" t="str">
            <v>77:09:0003001</v>
          </cell>
        </row>
        <row r="1478">
          <cell r="B1478" t="str">
            <v>77:09:0003002</v>
          </cell>
        </row>
        <row r="1479">
          <cell r="B1479" t="str">
            <v>77:09:0003003</v>
          </cell>
        </row>
        <row r="1480">
          <cell r="B1480" t="str">
            <v>77:09:0003004</v>
          </cell>
        </row>
        <row r="1481">
          <cell r="B1481" t="str">
            <v>77:09:0003005</v>
          </cell>
        </row>
        <row r="1482">
          <cell r="B1482" t="str">
            <v>77:09:0003008</v>
          </cell>
        </row>
        <row r="1483">
          <cell r="B1483" t="str">
            <v>77:09:0003009</v>
          </cell>
        </row>
        <row r="1484">
          <cell r="B1484" t="str">
            <v>77:09:0003010</v>
          </cell>
        </row>
        <row r="1485">
          <cell r="B1485" t="str">
            <v>77:09:0003011</v>
          </cell>
        </row>
        <row r="1486">
          <cell r="B1486" t="str">
            <v>77:09:0003012</v>
          </cell>
        </row>
        <row r="1487">
          <cell r="B1487" t="str">
            <v>77:09:0003013</v>
          </cell>
        </row>
        <row r="1488">
          <cell r="B1488" t="str">
            <v>77:09:0003014</v>
          </cell>
        </row>
        <row r="1489">
          <cell r="B1489" t="str">
            <v>77:09:0003015</v>
          </cell>
        </row>
        <row r="1490">
          <cell r="B1490" t="str">
            <v>77:09:0003016</v>
          </cell>
        </row>
        <row r="1491">
          <cell r="B1491" t="str">
            <v>77:09:0003017</v>
          </cell>
        </row>
        <row r="1492">
          <cell r="B1492" t="str">
            <v>77:09:0003018</v>
          </cell>
        </row>
        <row r="1493">
          <cell r="B1493" t="str">
            <v>77:09:0003019</v>
          </cell>
        </row>
        <row r="1494">
          <cell r="B1494" t="str">
            <v>77:09:0003020</v>
          </cell>
        </row>
        <row r="1495">
          <cell r="B1495" t="str">
            <v>77:09:0003021</v>
          </cell>
        </row>
        <row r="1496">
          <cell r="B1496" t="str">
            <v>77:09:0003022</v>
          </cell>
        </row>
        <row r="1497">
          <cell r="B1497" t="str">
            <v>77:09:0003023</v>
          </cell>
        </row>
        <row r="1498">
          <cell r="B1498" t="str">
            <v>77:09:0003024</v>
          </cell>
        </row>
        <row r="1499">
          <cell r="B1499" t="str">
            <v>77:09:0003025</v>
          </cell>
        </row>
        <row r="1500">
          <cell r="B1500" t="str">
            <v>77:09:0003026</v>
          </cell>
        </row>
        <row r="1501">
          <cell r="B1501" t="str">
            <v>77:09:0003027</v>
          </cell>
        </row>
        <row r="1502">
          <cell r="B1502" t="str">
            <v>77:09:0003029</v>
          </cell>
        </row>
        <row r="1503">
          <cell r="B1503" t="str">
            <v>77:09:0004001</v>
          </cell>
        </row>
        <row r="1504">
          <cell r="B1504" t="str">
            <v>77:09:0004002</v>
          </cell>
        </row>
        <row r="1505">
          <cell r="B1505" t="str">
            <v>77:09:0004003</v>
          </cell>
        </row>
        <row r="1506">
          <cell r="B1506" t="str">
            <v>77:09:0004004</v>
          </cell>
        </row>
        <row r="1507">
          <cell r="B1507" t="str">
            <v>77:09:0004005</v>
          </cell>
        </row>
        <row r="1508">
          <cell r="B1508" t="str">
            <v>77:09:0004006</v>
          </cell>
        </row>
        <row r="1509">
          <cell r="B1509" t="str">
            <v>77:09:0004007</v>
          </cell>
        </row>
        <row r="1510">
          <cell r="B1510" t="str">
            <v>77:09:0004008</v>
          </cell>
        </row>
        <row r="1511">
          <cell r="B1511" t="str">
            <v>77:09:0004009</v>
          </cell>
        </row>
        <row r="1512">
          <cell r="B1512" t="str">
            <v>77:09:0004010</v>
          </cell>
        </row>
        <row r="1513">
          <cell r="B1513" t="str">
            <v>77:09:0004011</v>
          </cell>
        </row>
        <row r="1514">
          <cell r="B1514" t="str">
            <v>77:09:0004012</v>
          </cell>
        </row>
        <row r="1515">
          <cell r="B1515" t="str">
            <v>77:09:0004013</v>
          </cell>
        </row>
        <row r="1516">
          <cell r="B1516" t="str">
            <v>77:09:0004014</v>
          </cell>
        </row>
        <row r="1517">
          <cell r="B1517" t="str">
            <v>77:09:0004015</v>
          </cell>
        </row>
        <row r="1518">
          <cell r="B1518" t="str">
            <v>77:09:0004016</v>
          </cell>
        </row>
        <row r="1519">
          <cell r="B1519" t="str">
            <v>77:09:0004017</v>
          </cell>
        </row>
        <row r="1520">
          <cell r="B1520" t="str">
            <v>77:09:0004018</v>
          </cell>
        </row>
        <row r="1521">
          <cell r="B1521" t="str">
            <v>77:09:0004019</v>
          </cell>
        </row>
        <row r="1522">
          <cell r="B1522" t="str">
            <v>77:09:0004020</v>
          </cell>
        </row>
        <row r="1523">
          <cell r="B1523" t="str">
            <v>77:09:0004021</v>
          </cell>
        </row>
        <row r="1524">
          <cell r="B1524" t="str">
            <v>77:09:0004022</v>
          </cell>
        </row>
        <row r="1525">
          <cell r="B1525" t="str">
            <v>77:09:0004023</v>
          </cell>
        </row>
        <row r="1526">
          <cell r="B1526" t="str">
            <v>77:09:0005001</v>
          </cell>
        </row>
        <row r="1527">
          <cell r="B1527" t="str">
            <v>77:09:0005002</v>
          </cell>
        </row>
        <row r="1528">
          <cell r="B1528" t="str">
            <v>77:09:0005003</v>
          </cell>
        </row>
        <row r="1529">
          <cell r="B1529" t="str">
            <v>77:09:0005004</v>
          </cell>
        </row>
        <row r="1530">
          <cell r="B1530" t="str">
            <v>77:09:0005005</v>
          </cell>
        </row>
        <row r="1531">
          <cell r="B1531" t="str">
            <v>77:09:0005006</v>
          </cell>
        </row>
        <row r="1532">
          <cell r="B1532" t="str">
            <v>77:09:0005007</v>
          </cell>
        </row>
        <row r="1533">
          <cell r="B1533" t="str">
            <v>77:09:0005008</v>
          </cell>
        </row>
        <row r="1534">
          <cell r="B1534" t="str">
            <v>77:09:0005009</v>
          </cell>
        </row>
        <row r="1535">
          <cell r="B1535" t="str">
            <v>77:09:0005010</v>
          </cell>
        </row>
        <row r="1536">
          <cell r="B1536" t="str">
            <v>77:09:0005011</v>
          </cell>
        </row>
        <row r="1537">
          <cell r="B1537" t="str">
            <v>77:09:0005012</v>
          </cell>
        </row>
        <row r="1538">
          <cell r="B1538" t="str">
            <v>77:09:0005013</v>
          </cell>
        </row>
        <row r="1539">
          <cell r="B1539" t="str">
            <v>77:09:0005014</v>
          </cell>
        </row>
        <row r="1540">
          <cell r="B1540" t="str">
            <v>77:09:0005015</v>
          </cell>
        </row>
        <row r="1541">
          <cell r="B1541" t="str">
            <v>77:09:0005016</v>
          </cell>
        </row>
        <row r="1542">
          <cell r="B1542" t="str">
            <v>77:09:0005017</v>
          </cell>
        </row>
        <row r="1543">
          <cell r="B1543" t="str">
            <v>77:09:0006002</v>
          </cell>
        </row>
        <row r="1544">
          <cell r="B1544" t="str">
            <v>77:09:0006004</v>
          </cell>
        </row>
        <row r="1545">
          <cell r="B1545" t="str">
            <v>77:09:0006006</v>
          </cell>
        </row>
        <row r="1546">
          <cell r="B1546" t="str">
            <v>77:09:0006007</v>
          </cell>
        </row>
        <row r="1547">
          <cell r="B1547" t="str">
            <v>77:09:0006008</v>
          </cell>
        </row>
        <row r="1548">
          <cell r="B1548" t="str">
            <v>77:09:0006009</v>
          </cell>
        </row>
        <row r="1549">
          <cell r="B1549" t="str">
            <v>77:09:0006010</v>
          </cell>
        </row>
        <row r="1550">
          <cell r="B1550" t="str">
            <v>77:09:0006011</v>
          </cell>
        </row>
        <row r="1551">
          <cell r="B1551" t="str">
            <v>77:09:0006012</v>
          </cell>
        </row>
        <row r="1552">
          <cell r="B1552" t="str">
            <v>77:09:0006013</v>
          </cell>
        </row>
        <row r="1553">
          <cell r="B1553" t="str">
            <v>77:10:0001001</v>
          </cell>
        </row>
        <row r="1554">
          <cell r="B1554" t="str">
            <v>77:10:0001002</v>
          </cell>
        </row>
        <row r="1555">
          <cell r="B1555" t="str">
            <v>77:10:0001003</v>
          </cell>
        </row>
        <row r="1556">
          <cell r="B1556" t="str">
            <v>77:10:0001004</v>
          </cell>
        </row>
        <row r="1557">
          <cell r="B1557" t="str">
            <v>77:10:0001005</v>
          </cell>
        </row>
        <row r="1558">
          <cell r="B1558" t="str">
            <v>77:10:0001006</v>
          </cell>
        </row>
        <row r="1559">
          <cell r="B1559" t="str">
            <v>77:10:0002001</v>
          </cell>
        </row>
        <row r="1560">
          <cell r="B1560" t="str">
            <v>77:10:0002002</v>
          </cell>
        </row>
        <row r="1561">
          <cell r="B1561" t="str">
            <v>77:10:0002003</v>
          </cell>
        </row>
        <row r="1562">
          <cell r="B1562" t="str">
            <v>77:10:0002004</v>
          </cell>
        </row>
        <row r="1563">
          <cell r="B1563" t="str">
            <v>77:10:0002005</v>
          </cell>
        </row>
        <row r="1564">
          <cell r="B1564" t="str">
            <v>77:10:0002006</v>
          </cell>
        </row>
        <row r="1565">
          <cell r="B1565" t="str">
            <v>77:10:0002007</v>
          </cell>
        </row>
        <row r="1566">
          <cell r="B1566" t="str">
            <v>77:10:0002008</v>
          </cell>
        </row>
        <row r="1567">
          <cell r="B1567" t="str">
            <v>77:10:0003001</v>
          </cell>
        </row>
        <row r="1568">
          <cell r="B1568" t="str">
            <v>77:10:0003002</v>
          </cell>
        </row>
        <row r="1569">
          <cell r="B1569" t="str">
            <v>77:10:0003003</v>
          </cell>
        </row>
        <row r="1570">
          <cell r="B1570" t="str">
            <v>77:10:0003004</v>
          </cell>
        </row>
        <row r="1571">
          <cell r="B1571" t="str">
            <v>77:10:0003005</v>
          </cell>
        </row>
        <row r="1572">
          <cell r="B1572" t="str">
            <v>77:10:0003006</v>
          </cell>
        </row>
        <row r="1573">
          <cell r="B1573" t="str">
            <v>77:10:0003007</v>
          </cell>
        </row>
        <row r="1574">
          <cell r="B1574" t="str">
            <v>77:10:0003008</v>
          </cell>
        </row>
        <row r="1575">
          <cell r="B1575" t="str">
            <v>77:10:0003009</v>
          </cell>
        </row>
        <row r="1576">
          <cell r="B1576" t="str">
            <v>77:10:0004001</v>
          </cell>
        </row>
        <row r="1577">
          <cell r="B1577" t="str">
            <v>77:10:0004002</v>
          </cell>
        </row>
        <row r="1578">
          <cell r="B1578" t="str">
            <v>77:10:0004003</v>
          </cell>
        </row>
        <row r="1579">
          <cell r="B1579" t="str">
            <v>77:10:0004004</v>
          </cell>
        </row>
        <row r="1580">
          <cell r="B1580" t="str">
            <v>77:10:0004005</v>
          </cell>
        </row>
        <row r="1581">
          <cell r="B1581" t="str">
            <v>77:10:0004006</v>
          </cell>
        </row>
        <row r="1582">
          <cell r="B1582" t="str">
            <v>77:10:0005001</v>
          </cell>
        </row>
        <row r="1583">
          <cell r="B1583" t="str">
            <v>77:10:0005002</v>
          </cell>
        </row>
        <row r="1584">
          <cell r="B1584" t="str">
            <v>77:10:0005003</v>
          </cell>
        </row>
        <row r="1585">
          <cell r="B1585" t="str">
            <v>77:10:0005004</v>
          </cell>
        </row>
        <row r="1586">
          <cell r="B1586" t="str">
            <v>77:10:0005005</v>
          </cell>
        </row>
        <row r="1587">
          <cell r="B1587" t="str">
            <v>77:10:0005006</v>
          </cell>
        </row>
        <row r="1588">
          <cell r="B1588" t="str">
            <v>77:10:0005007</v>
          </cell>
        </row>
        <row r="1589">
          <cell r="B1589" t="str">
            <v>77:10:0006001</v>
          </cell>
        </row>
        <row r="1590">
          <cell r="B1590" t="str">
            <v>77:10:0006002</v>
          </cell>
        </row>
        <row r="1591">
          <cell r="B1591" t="str">
            <v>77:10:0006003</v>
          </cell>
        </row>
        <row r="1592">
          <cell r="B1592" t="str">
            <v>77:10:0006004</v>
          </cell>
        </row>
        <row r="1593">
          <cell r="B1593" t="str">
            <v>77:10:0006005</v>
          </cell>
        </row>
        <row r="1594">
          <cell r="B1594" t="str">
            <v>77:10:0006006</v>
          </cell>
        </row>
        <row r="1595">
          <cell r="B1595" t="str">
            <v>77:10:0006007</v>
          </cell>
        </row>
        <row r="1596">
          <cell r="B1596" t="str">
            <v>77:10:0006008</v>
          </cell>
        </row>
        <row r="1597">
          <cell r="B1597" t="str">
            <v>77:10:0007001</v>
          </cell>
        </row>
      </sheetData>
      <sheetData sheetId="10">
        <row r="1">
          <cell r="B1" t="str">
            <v>считаем</v>
          </cell>
        </row>
        <row r="2">
          <cell r="B2" t="str">
            <v>не считаем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  <sheetName val="рын"/>
      <sheetName val="изно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Графики"/>
      <sheetName val="Выручка"/>
      <sheetName val="Баланс "/>
      <sheetName val="накопл активов"/>
      <sheetName val="доходный"/>
      <sheetName val="дивиденды"/>
      <sheetName val="МДДП"/>
      <sheetName val="Сведение"/>
      <sheetName val="исход-итог"/>
      <sheetName val=" Assumptions"/>
      <sheetName val="Параметры"/>
      <sheetName val="General"/>
      <sheetName val="восст"/>
      <sheetName val="Общая"/>
      <sheetName val="ЛитБ"/>
      <sheetName val="Исходные"/>
      <sheetName val="общий"/>
      <sheetName val="ТЭП гостиница"/>
      <sheetName val="общие сведения"/>
      <sheetName val="Исх_данные"/>
      <sheetName val="расчет"/>
      <sheetName val="Баланс_"/>
      <sheetName val="накопл_активов"/>
      <sheetName val="_Assumptions"/>
      <sheetName val="RENT ROLL"/>
      <sheetName val="COVER"/>
      <sheetName val="разряд"/>
      <sheetName val="затр_подх"/>
      <sheetName val="общие данные"/>
      <sheetName val="ИТОГО"/>
      <sheetName val="ЗАТРАТЫ"/>
      <sheetName val="Лист1"/>
      <sheetName val="Баз предп"/>
      <sheetName val="Use"/>
      <sheetName val="Кредит"/>
      <sheetName val="Резервы"/>
      <sheetName val="Ставка Д"/>
      <sheetName val="const"/>
      <sheetName val="АС_Офис"/>
      <sheetName val="Текущие цены"/>
      <sheetName val="рабочий"/>
      <sheetName val="окраска"/>
      <sheetName val="Balance Sheet"/>
      <sheetName val="общее"/>
      <sheetName val="Списки"/>
      <sheetName val="Master Inputs Start Here"/>
      <sheetName val="HBS initial"/>
      <sheetName val="Дхд 639,3"/>
      <sheetName val="Справочники"/>
      <sheetName val="05г."/>
      <sheetName val="База"/>
      <sheetName val="финплан стр.п."/>
      <sheetName val="Метод остатка"/>
      <sheetName val="Константы"/>
      <sheetName val="рын"/>
      <sheetName val="износ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"/>
      <sheetName val="Стоим._стр-ва"/>
      <sheetName val="Мес"/>
      <sheetName val="Comp1"/>
      <sheetName val="НПО Винт"/>
      <sheetName val="Sheet2"/>
      <sheetName val="Сибнефть"/>
      <sheetName val="Усинск_Роснефть"/>
      <sheetName val="себ"/>
      <sheetName val="ф2"/>
      <sheetName val="ф1"/>
      <sheetName val="дебкред"/>
      <sheetName val="ФХД"/>
      <sheetName val="actives"/>
      <sheetName val="13,40 Авансы_получ"/>
      <sheetName val="ПРОГНОЗ_1"/>
      <sheetName val="Начало"/>
      <sheetName val="вспомогательный_списки"/>
      <sheetName val="Дебиторка"/>
      <sheetName val="Калькуляции"/>
      <sheetName val="Rates"/>
      <sheetName val="КалкТов"/>
      <sheetName val="Май"/>
      <sheetName val="Список"/>
      <sheetName val="Аналоги аренда"/>
      <sheetName val="Excel_BuiltIn_Print_Area_5"/>
      <sheetName val="СПРБ - СТАРЫЙ"/>
      <sheetName val="dk"/>
      <sheetName val="Настройка"/>
      <sheetName val="Содержание"/>
      <sheetName val="аренда"/>
      <sheetName val="расчет общий"/>
      <sheetName val="Resume"/>
      <sheetName val="Инд"/>
      <sheetName val="план"/>
    </sheetNames>
    <sheetDataSet>
      <sheetData sheetId="0" refreshError="1">
        <row r="2">
          <cell r="B2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КУРС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н.ит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ОС"/>
      <sheetName val="Расчет&gt;&gt;"/>
      <sheetName val="Индексы"/>
      <sheetName val="Оборудование"/>
      <sheetName val="Авто"/>
      <sheetName val="ИТОГИ"/>
      <sheetName val="Реестр"/>
      <sheetName val="Справочные данные&gt;&gt;"/>
      <sheetName val="Скидки оборуд."/>
      <sheetName val="Маршалл и Свифт"/>
      <sheetName val="ГКС"/>
      <sheetName val="Группы имущества"/>
      <sheetName val="Вид зависимости"/>
      <sheetName val="Амортизационная группа"/>
    </sheetNames>
    <sheetDataSet>
      <sheetData sheetId="0">
        <row r="1">
          <cell r="B1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нос"/>
      <sheetName val="восст"/>
    </sheet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общие сведения"/>
    </sheetNames>
    <sheetDataSet>
      <sheetData sheetId="0" refreshError="1"/>
      <sheetData sheetId="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ица"/>
      <sheetName val="Словари"/>
      <sheetName val="Лист3"/>
    </sheetNames>
    <sheetDataSet>
      <sheetData sheetId="0"/>
      <sheetData sheetId="1"/>
      <sheetData sheetId="2">
        <row r="4">
          <cell r="B4" t="str">
            <v>Дом</v>
          </cell>
        </row>
        <row r="5">
          <cell r="B5" t="str">
            <v>Здание</v>
          </cell>
        </row>
        <row r="6">
          <cell r="B6" t="str">
            <v>Земельный участок</v>
          </cell>
        </row>
        <row r="7">
          <cell r="B7" t="str">
            <v>Квартира</v>
          </cell>
        </row>
        <row r="8">
          <cell r="B8" t="str">
            <v>Комната</v>
          </cell>
        </row>
        <row r="9">
          <cell r="B9" t="str">
            <v>Незавершенное строительство</v>
          </cell>
        </row>
        <row r="10">
          <cell r="B10" t="str">
            <v>Обособленный водный объект</v>
          </cell>
        </row>
        <row r="11">
          <cell r="B11" t="str">
            <v>Помещения нежилые</v>
          </cell>
        </row>
        <row r="12">
          <cell r="B12" t="str">
            <v>Сооружение линейное</v>
          </cell>
        </row>
        <row r="13">
          <cell r="B13" t="str">
            <v>Сооружение площадное</v>
          </cell>
        </row>
        <row r="14">
          <cell r="B14" t="str">
            <v>Строение</v>
          </cell>
        </row>
        <row r="15">
          <cell r="B15" t="str">
            <v>Строящийся объект</v>
          </cell>
        </row>
        <row r="16">
          <cell r="B16" t="str">
            <v>Часть земельного участка</v>
          </cell>
        </row>
      </sheetData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общие сведения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скад,5"/>
      <sheetName val="бог"/>
      <sheetName val="мфтц,к.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-итог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Метод остатка"/>
    </sheetNames>
    <sheetDataSet>
      <sheetData sheetId="0" refreshError="1"/>
      <sheetData sheetId="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овые курсы валют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ын счит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списки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95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GSN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свед"/>
      <sheetName val="общие сведения"/>
      <sheetName val="общие данные"/>
      <sheetName val="график строительства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Data"/>
      <sheetName val="Инвест-пр1"/>
      <sheetName val="Инвест-пр4"/>
      <sheetName val="ДП"/>
      <sheetName val="ТЭП"/>
      <sheetName val="Glossary"/>
      <sheetName val="1"/>
      <sheetName val="ЛитБ"/>
      <sheetName val="Параметры"/>
      <sheetName val="общее"/>
      <sheetName val="Аренда Торговля"/>
      <sheetName val="Аренда СТО"/>
      <sheetName val="Дисконт"/>
      <sheetName val="Содержание"/>
      <sheetName val="Расчет"/>
      <sheetName val="General inputs"/>
      <sheetName val="2.Продажа квартир"/>
      <sheetName val="Read me first"/>
      <sheetName val="Инд"/>
      <sheetName val="Дебиторы"/>
      <sheetName val="Use"/>
      <sheetName val="Лист2"/>
      <sheetName val="Осн_данн"/>
      <sheetName val="КО-Инвест"/>
      <sheetName val="Списки"/>
      <sheetName val="Лист1"/>
      <sheetName val="график01.09.02"/>
      <sheetName val="Sheet1"/>
      <sheetName val="Исходные"/>
      <sheetName val="Balance Sheet"/>
      <sheetName val="Income Statement"/>
      <sheetName val="СРЗУ"/>
      <sheetName val="Доход"/>
      <sheetName val="tmpB193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константы"/>
      <sheetName val="Ставка Д"/>
      <sheetName val="#ССЫЛКА"/>
      <sheetName val="Дхд 639,3"/>
      <sheetName val="ТЭП гостиница"/>
      <sheetName val="рабочий"/>
      <sheetName val="Курсы"/>
      <sheetName val="Спис_Объекты_недв"/>
      <sheetName val="Master Inputs Start Here"/>
      <sheetName val="HBS initial"/>
      <sheetName val="BS (RAS)"/>
      <sheetName val="Резервы"/>
      <sheetName val="НФИк"/>
      <sheetName val="Financials"/>
      <sheetName val="Осн_данные"/>
      <sheetName val="Огл. Графиков"/>
      <sheetName val="Текущие цены"/>
      <sheetName val="g"/>
      <sheetName val="план"/>
      <sheetName val="исход-итог"/>
      <sheetName val="ИТОГО"/>
      <sheetName val="d"/>
      <sheetName val="Док+Исх"/>
      <sheetName val="Sheet2"/>
      <sheetName val="Исходные данные"/>
      <sheetName val="ЗУ Промка продажа"/>
      <sheetName val="инфо"/>
      <sheetName val="Статист"/>
      <sheetName val="Земля"/>
      <sheetName val="финплан стр.п."/>
      <sheetName val="Баз предп"/>
      <sheetName val="ОО"/>
      <sheetName val="исх 1"/>
      <sheetName val="Капвложения"/>
      <sheetName val="Легенда"/>
      <sheetName val="Трансформация бу в уу(сентябрь)"/>
      <sheetName val="Brif_zdanie"/>
      <sheetName val="Выписка_РФИ"/>
      <sheetName val="Имущество_элементы"/>
      <sheetName val="восст"/>
      <sheetName val="АС 1-Н"/>
      <sheetName val="Для шаблона"/>
      <sheetName val="затр_подх"/>
      <sheetName val="Запрос"/>
      <sheetName val="ПП"/>
      <sheetName val="Rev"/>
      <sheetName val="DCF"/>
      <sheetName val="TOC"/>
      <sheetName val="ПВД"/>
      <sheetName val="Коррект"/>
      <sheetName val="Forecast"/>
      <sheetName val="Сквозной расчет"/>
      <sheetName val="1.10.96"/>
      <sheetName val="Ср.пр."/>
      <sheetName val="Sheet5"/>
      <sheetName val="Расчет земли"/>
      <sheetName val="Смета"/>
      <sheetName val="общий"/>
      <sheetName val="Доходный подход аренда"/>
      <sheetName val=" Assumptions"/>
      <sheetName val="2002(v2)"/>
      <sheetName val="9.ДП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цены цехов"/>
      <sheetName val="Промка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Лист3"/>
      <sheetName val="Исходные условия (константы)"/>
      <sheetName val="Функции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офисов-рек"/>
      <sheetName val="АБ"/>
      <sheetName val="Номенклатура"/>
      <sheetName val="Согласование  и итог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Budget"/>
      <sheetName val="Resi_Podi_offi"/>
      <sheetName val="Offices"/>
      <sheetName val="Town_Vill"/>
      <sheetName val="Offices+Retail"/>
      <sheetName val="inputs"/>
      <sheetName val="cf_"/>
      <sheetName val="output"/>
      <sheetName val="cf_20"/>
      <sheetName val="output_20"/>
      <sheetName val="cf_25"/>
      <sheetName val="output_25"/>
      <sheetName val="cf_30"/>
      <sheetName val="output_30"/>
      <sheetName val="maps"/>
      <sheetName val="output1"/>
      <sheetName val="output2"/>
      <sheetName val="output3"/>
      <sheetName val="output_"/>
      <sheetName val="outpu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Лист13"/>
      <sheetName val="Константы"/>
      <sheetName val="инвестиции 2007"/>
      <sheetName val="Метод остатка"/>
      <sheetName val="общие сведения"/>
      <sheetName val="Лист2"/>
      <sheetName val="ЗУ Промка продажа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  <sheetName val="Содержание"/>
      <sheetName val="Машины и оборудование"/>
      <sheetName val="Здан-затр"/>
      <sheetName val="мса_СКЛАД"/>
      <sheetName val="конст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шины и оборудование"/>
      <sheetName val="Здан-затр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Ик"/>
      <sheetName val="график01.09.02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естицииСвод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&gt;&gt;"/>
      <sheetName val="Недвижимость-1"/>
      <sheetName val="Недвижимость-2"/>
      <sheetName val="ИТОГО ОС (счет 01,07,08)"/>
      <sheetName val="Расчеты&gt;&gt;"/>
      <sheetName val="ЗП (КО-ИНВЕСТ)"/>
      <sheetName val="ЗП (Индексация)"/>
      <sheetName val="Реестр"/>
      <sheetName val="Износы"/>
      <sheetName val="Весы"/>
      <sheetName val="Мехтоки"/>
      <sheetName val="Асфальт"/>
      <sheetName val="Ответы на вопросы 1"/>
      <sheetName val="Ответы на вопросы 2"/>
      <sheetName val="Маршал и свифт"/>
      <sheetName val="Итоги"/>
      <sheetName val="Аналитика&gt;&gt;"/>
      <sheetName val="Корректировки - ЗП"/>
      <sheetName val="Индексы КО_ИНВЕСТ"/>
    </sheetNames>
    <sheetDataSet>
      <sheetData sheetId="0"/>
      <sheetData sheetId="1">
        <row r="1">
          <cell r="T1">
            <v>20</v>
          </cell>
        </row>
      </sheetData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Р00009098</v>
          </cell>
          <cell r="C3" t="str">
            <v xml:space="preserve"> Жилой 1кв дом   ул.Первомайская, дом №43А об.пл. 113,3 кв.м. Усл.№  23-23-27/029/2008-711</v>
          </cell>
          <cell r="D3">
            <v>40918</v>
          </cell>
          <cell r="E3">
            <v>40918</v>
          </cell>
          <cell r="F3">
            <v>2600000</v>
          </cell>
          <cell r="G3">
            <v>1.1736089030206676</v>
          </cell>
          <cell r="H3">
            <v>3051383.1478537358</v>
          </cell>
          <cell r="I3">
            <v>3.9753424657534246</v>
          </cell>
          <cell r="J3" t="str">
            <v>блоки легкобетонные</v>
          </cell>
          <cell r="K3">
            <v>0</v>
          </cell>
          <cell r="L3">
            <v>60</v>
          </cell>
          <cell r="M3">
            <v>6.6255707762557084E-2</v>
          </cell>
          <cell r="N3">
            <v>0</v>
          </cell>
          <cell r="O3">
            <v>0</v>
          </cell>
          <cell r="P3">
            <v>6.625570776255707E-2</v>
          </cell>
          <cell r="Q3">
            <v>2261495.66</v>
          </cell>
          <cell r="R3">
            <v>19960.244130626656</v>
          </cell>
          <cell r="S3" t="str">
            <v>Соответствует</v>
          </cell>
          <cell r="T3">
            <v>2849212</v>
          </cell>
          <cell r="U3">
            <v>25147.502206531335</v>
          </cell>
          <cell r="V3">
            <v>1.2598794905491881</v>
          </cell>
          <cell r="W3" t="str">
            <v>Соответствует</v>
          </cell>
          <cell r="X3" t="str">
            <v>отличное</v>
          </cell>
          <cell r="Y3">
            <v>0.05</v>
          </cell>
          <cell r="Z3">
            <v>2898813.9904610491</v>
          </cell>
          <cell r="AA3">
            <v>25585.295591006612</v>
          </cell>
          <cell r="AB3">
            <v>1.28181275857989</v>
          </cell>
          <cell r="AC3" t="str">
            <v>Соответствует</v>
          </cell>
          <cell r="AD3" t="str">
            <v>Не рассчитывалась</v>
          </cell>
          <cell r="AE3" t="str">
            <v>Не рассчитывалась</v>
          </cell>
          <cell r="AF3" t="e">
            <v>#VALUE!</v>
          </cell>
          <cell r="AG3">
            <v>113.3</v>
          </cell>
          <cell r="AH3">
            <v>0</v>
          </cell>
          <cell r="AI3" t="str">
            <v>Уточнить состояние по фото</v>
          </cell>
          <cell r="AL3">
            <v>2849212</v>
          </cell>
          <cell r="AM3" t="str">
            <v>По сроку службы</v>
          </cell>
        </row>
        <row r="4">
          <cell r="A4">
            <v>2</v>
          </cell>
          <cell r="B4" t="str">
            <v>Р00008438</v>
          </cell>
          <cell r="C4" t="str">
            <v xml:space="preserve"> Жилой 1кв дом  ул.Красная ,138 Об.пл. 117,4 кв.м. Усл № 23:11:07 01 022:0003:03:220:001</v>
          </cell>
          <cell r="D4">
            <v>40513</v>
          </cell>
          <cell r="E4">
            <v>40513</v>
          </cell>
          <cell r="F4">
            <v>2500000</v>
          </cell>
          <cell r="G4">
            <v>1.4577409162717219</v>
          </cell>
          <cell r="H4">
            <v>3644352.2906793049</v>
          </cell>
          <cell r="I4">
            <v>5.0849315068493155</v>
          </cell>
          <cell r="J4" t="str">
            <v>кирпичные</v>
          </cell>
          <cell r="K4">
            <v>0</v>
          </cell>
          <cell r="L4">
            <v>60</v>
          </cell>
          <cell r="M4">
            <v>8.4748858447488598E-2</v>
          </cell>
          <cell r="N4">
            <v>0</v>
          </cell>
          <cell r="O4">
            <v>0</v>
          </cell>
          <cell r="P4">
            <v>8.4748858447488584E-2</v>
          </cell>
          <cell r="Q4">
            <v>2084487.4</v>
          </cell>
          <cell r="R4">
            <v>17755.429301533219</v>
          </cell>
          <cell r="S4" t="str">
            <v>Соответствует</v>
          </cell>
          <cell r="T4">
            <v>3335498</v>
          </cell>
          <cell r="U4">
            <v>28411.396933560474</v>
          </cell>
          <cell r="V4">
            <v>1.6001526322490605</v>
          </cell>
          <cell r="W4" t="str">
            <v>Соответствует</v>
          </cell>
          <cell r="X4" t="str">
            <v>отличное</v>
          </cell>
          <cell r="Y4">
            <v>0.05</v>
          </cell>
          <cell r="Z4">
            <v>3462134.6761453394</v>
          </cell>
          <cell r="AA4">
            <v>29490.073902430486</v>
          </cell>
          <cell r="AB4">
            <v>1.6609045831341267</v>
          </cell>
          <cell r="AC4" t="str">
            <v>Соответствует</v>
          </cell>
          <cell r="AD4" t="str">
            <v>Не рассчитывалась</v>
          </cell>
          <cell r="AE4" t="str">
            <v>Не рассчитывалась</v>
          </cell>
          <cell r="AF4" t="e">
            <v>#VALUE!</v>
          </cell>
          <cell r="AG4">
            <v>117.4</v>
          </cell>
          <cell r="AH4">
            <v>0</v>
          </cell>
          <cell r="AI4" t="str">
            <v>Уточнить состояние по фото</v>
          </cell>
          <cell r="AL4">
            <v>3335498</v>
          </cell>
          <cell r="AM4" t="str">
            <v>По сроку службы</v>
          </cell>
        </row>
        <row r="5">
          <cell r="A5">
            <v>3</v>
          </cell>
          <cell r="B5">
            <v>417</v>
          </cell>
          <cell r="C5" t="str">
            <v>Агрохимкомплекс (289) рас-во Об.S-664,4 кв.м. Литер А  Кад№ 23:11:0702000:755</v>
          </cell>
          <cell r="D5">
            <v>28109</v>
          </cell>
          <cell r="E5">
            <v>28109</v>
          </cell>
          <cell r="F5">
            <v>1770791.99</v>
          </cell>
          <cell r="G5">
            <v>13.261762999999998</v>
          </cell>
          <cell r="H5">
            <v>23483823.693678368</v>
          </cell>
          <cell r="I5">
            <v>39.06849315068493</v>
          </cell>
          <cell r="J5" t="str">
            <v>ж/б блоки</v>
          </cell>
          <cell r="K5">
            <v>0</v>
          </cell>
          <cell r="L5">
            <v>50</v>
          </cell>
          <cell r="M5">
            <v>0.7813698630136986</v>
          </cell>
          <cell r="N5">
            <v>0</v>
          </cell>
          <cell r="O5">
            <v>0</v>
          </cell>
          <cell r="P5">
            <v>0.7813698630136986</v>
          </cell>
          <cell r="Q5">
            <v>77881.550000000047</v>
          </cell>
          <cell r="R5">
            <v>117.22087597832639</v>
          </cell>
          <cell r="S5" t="str">
            <v>Не соответствует</v>
          </cell>
          <cell r="T5">
            <v>5134272</v>
          </cell>
          <cell r="U5">
            <v>7727.6821192052985</v>
          </cell>
          <cell r="V5">
            <v>65.924111679852246</v>
          </cell>
          <cell r="W5" t="str">
            <v>Не соответствует</v>
          </cell>
          <cell r="X5" t="str">
            <v>хорошее</v>
          </cell>
          <cell r="Y5">
            <v>0.3</v>
          </cell>
          <cell r="Z5">
            <v>16438676.585574856</v>
          </cell>
          <cell r="AA5">
            <v>24742.138148065707</v>
          </cell>
          <cell r="AB5">
            <v>211.07279690215265</v>
          </cell>
          <cell r="AC5" t="str">
            <v>Соответствует</v>
          </cell>
          <cell r="AD5" t="str">
            <v>Не рассчитывалась</v>
          </cell>
          <cell r="AE5" t="str">
            <v>Не рассчитывалась</v>
          </cell>
          <cell r="AF5" t="e">
            <v>#VALUE!</v>
          </cell>
          <cell r="AG5">
            <v>664.4</v>
          </cell>
          <cell r="AH5" t="str">
            <v>реконструкция</v>
          </cell>
          <cell r="AI5">
            <v>0</v>
          </cell>
          <cell r="AL5">
            <v>16438676.585574856</v>
          </cell>
          <cell r="AM5" t="str">
            <v>Экспертно</v>
          </cell>
        </row>
        <row r="6">
          <cell r="A6">
            <v>4</v>
          </cell>
          <cell r="B6">
            <v>377</v>
          </cell>
          <cell r="C6" t="str">
            <v>Бригадный дом (270) бр2  Литер Б Об.пл. 211,7 кв.м.  Кад№ 23:11:0607000:1660</v>
          </cell>
          <cell r="D6">
            <v>28839</v>
          </cell>
          <cell r="E6">
            <v>28839</v>
          </cell>
          <cell r="F6">
            <v>1764560.46</v>
          </cell>
          <cell r="G6">
            <v>13.261762999999998</v>
          </cell>
          <cell r="H6">
            <v>23401182.619690977</v>
          </cell>
          <cell r="I6">
            <v>37.06849315068493</v>
          </cell>
          <cell r="J6" t="str">
            <v>каменные</v>
          </cell>
          <cell r="K6">
            <v>0</v>
          </cell>
          <cell r="L6">
            <v>60</v>
          </cell>
          <cell r="M6">
            <v>0.61780821917808215</v>
          </cell>
          <cell r="N6">
            <v>0</v>
          </cell>
          <cell r="O6">
            <v>0</v>
          </cell>
          <cell r="P6">
            <v>0.61780821917808215</v>
          </cell>
          <cell r="Q6">
            <v>459967.58000000007</v>
          </cell>
          <cell r="R6">
            <v>2172.733018422296</v>
          </cell>
          <cell r="S6" t="str">
            <v>Не соответствует</v>
          </cell>
          <cell r="T6">
            <v>8943740</v>
          </cell>
          <cell r="U6">
            <v>42247.236655644781</v>
          </cell>
          <cell r="V6">
            <v>19.444283442759158</v>
          </cell>
          <cell r="W6" t="str">
            <v>Соответствует</v>
          </cell>
          <cell r="X6" t="str">
            <v>хорошее</v>
          </cell>
          <cell r="Y6">
            <v>0.3</v>
          </cell>
          <cell r="Z6">
            <v>16380827.833783682</v>
          </cell>
          <cell r="AA6">
            <v>77377.552356087312</v>
          </cell>
          <cell r="AB6">
            <v>35.61300523350728</v>
          </cell>
          <cell r="AC6" t="str">
            <v>Не соответствует</v>
          </cell>
          <cell r="AD6" t="str">
            <v>Не рассчитывалась</v>
          </cell>
          <cell r="AE6" t="str">
            <v>Не рассчитывалась</v>
          </cell>
          <cell r="AF6" t="e">
            <v>#VALUE!</v>
          </cell>
          <cell r="AG6">
            <v>211.7</v>
          </cell>
          <cell r="AH6" t="str">
            <v>реконструкция</v>
          </cell>
          <cell r="AI6" t="str">
            <v>Уточнить состояние по фото</v>
          </cell>
          <cell r="AJ6" t="str">
            <v>Чем обусловлена разница в БС в 8 раз между объектами инв. №377 и №380?</v>
          </cell>
          <cell r="AK6">
            <v>1</v>
          </cell>
          <cell r="AL6">
            <v>8943740</v>
          </cell>
          <cell r="AM6" t="str">
            <v>По сроку службы</v>
          </cell>
        </row>
        <row r="7">
          <cell r="A7">
            <v>5</v>
          </cell>
          <cell r="B7">
            <v>380</v>
          </cell>
          <cell r="C7" t="str">
            <v>Бригадный дом (399) МТФ №5  Об.пл. 276,8 кв.м. Кад№  23:11:0607000:1578</v>
          </cell>
          <cell r="D7">
            <v>24837</v>
          </cell>
          <cell r="E7">
            <v>24837</v>
          </cell>
          <cell r="F7">
            <v>215914.58</v>
          </cell>
          <cell r="G7">
            <v>13.261762999999998</v>
          </cell>
          <cell r="H7">
            <v>2863407.9882045393</v>
          </cell>
          <cell r="I7">
            <v>48.032876712328765</v>
          </cell>
          <cell r="J7" t="str">
            <v>каменные</v>
          </cell>
          <cell r="K7">
            <v>0</v>
          </cell>
          <cell r="L7">
            <v>60</v>
          </cell>
          <cell r="M7">
            <v>0.8</v>
          </cell>
          <cell r="N7">
            <v>0</v>
          </cell>
          <cell r="O7">
            <v>0</v>
          </cell>
          <cell r="P7">
            <v>0.8</v>
          </cell>
          <cell r="Q7">
            <v>134947.33999999997</v>
          </cell>
          <cell r="R7">
            <v>487.52651734104035</v>
          </cell>
          <cell r="S7" t="str">
            <v>Не соответствует</v>
          </cell>
          <cell r="T7">
            <v>572682</v>
          </cell>
          <cell r="U7">
            <v>2068.9378612716764</v>
          </cell>
          <cell r="V7">
            <v>4.2437442635030829</v>
          </cell>
          <cell r="W7" t="str">
            <v>Не соответствует</v>
          </cell>
          <cell r="X7" t="str">
            <v>хорошее</v>
          </cell>
          <cell r="Y7">
            <v>0.3</v>
          </cell>
          <cell r="Z7">
            <v>2004385.5917431773</v>
          </cell>
          <cell r="AA7">
            <v>7241.2774268178364</v>
          </cell>
          <cell r="AB7">
            <v>14.853094486658112</v>
          </cell>
          <cell r="AC7" t="str">
            <v>Соответствует</v>
          </cell>
          <cell r="AD7" t="str">
            <v>Не рассчитывалась</v>
          </cell>
          <cell r="AE7" t="str">
            <v>Не рассчитывалась</v>
          </cell>
          <cell r="AF7" t="e">
            <v>#VALUE!</v>
          </cell>
          <cell r="AG7">
            <v>276.8</v>
          </cell>
          <cell r="AH7" t="str">
            <v>реконструкция</v>
          </cell>
          <cell r="AI7">
            <v>0</v>
          </cell>
          <cell r="AJ7" t="str">
            <v>Чем обусловлена разница в БС в 8 раз между объектами инв. №377 и №380?</v>
          </cell>
          <cell r="AK7">
            <v>1</v>
          </cell>
          <cell r="AL7">
            <v>2004385.5917431773</v>
          </cell>
          <cell r="AM7" t="str">
            <v>Экспертно</v>
          </cell>
        </row>
        <row r="8">
          <cell r="A8">
            <v>6</v>
          </cell>
          <cell r="B8">
            <v>401</v>
          </cell>
          <cell r="C8" t="str">
            <v>Весовая на 30 тонн Об.S-151,1 кв.м.(Навес весовой (274) бр2  Литер Ааа1) Кад№ 23:11:0607000:1570</v>
          </cell>
          <cell r="D8">
            <v>31761</v>
          </cell>
          <cell r="E8">
            <v>31761</v>
          </cell>
          <cell r="F8">
            <v>1775133.99</v>
          </cell>
          <cell r="G8">
            <v>13.261762999999998</v>
          </cell>
          <cell r="H8">
            <v>23541406.268624365</v>
          </cell>
          <cell r="I8">
            <v>29.063013698630137</v>
          </cell>
          <cell r="J8" t="str">
            <v>металлические</v>
          </cell>
          <cell r="K8">
            <v>0</v>
          </cell>
          <cell r="L8">
            <v>35</v>
          </cell>
          <cell r="M8">
            <v>0.8</v>
          </cell>
          <cell r="N8">
            <v>0</v>
          </cell>
          <cell r="O8">
            <v>0</v>
          </cell>
          <cell r="P8">
            <v>0.8</v>
          </cell>
          <cell r="Q8">
            <v>629473.31000000006</v>
          </cell>
          <cell r="R8">
            <v>4165.9385175380548</v>
          </cell>
          <cell r="S8" t="str">
            <v>Не соответствует</v>
          </cell>
          <cell r="T8">
            <v>4708281</v>
          </cell>
          <cell r="U8">
            <v>31160.033090668432</v>
          </cell>
          <cell r="V8">
            <v>7.4797150652821163</v>
          </cell>
          <cell r="W8" t="str">
            <v>Соответствует</v>
          </cell>
          <cell r="X8" t="str">
            <v>отличное</v>
          </cell>
          <cell r="Y8">
            <v>0.1</v>
          </cell>
          <cell r="Z8">
            <v>21187265.641761929</v>
          </cell>
          <cell r="AA8">
            <v>140220.15646434104</v>
          </cell>
          <cell r="AB8">
            <v>33.658719607606443</v>
          </cell>
          <cell r="AC8" t="str">
            <v>Не соответствует</v>
          </cell>
          <cell r="AD8" t="str">
            <v>Не рассчитывалась</v>
          </cell>
          <cell r="AE8" t="str">
            <v>Не рассчитывалась</v>
          </cell>
          <cell r="AF8" t="e">
            <v>#VALUE!</v>
          </cell>
          <cell r="AG8">
            <v>151.1</v>
          </cell>
          <cell r="AH8" t="str">
            <v>реконструкция</v>
          </cell>
          <cell r="AI8" t="str">
            <v>Возможно с оборудованием? Уточнить состояние.</v>
          </cell>
          <cell r="AJ8" t="str">
            <v>Стоимость оборудования порядка 100000 руб. + фундамент + доставка + монтаж. Новые весы стоят порядка 240000 руб. С учетом изготовления фундамента, доставки и монтажа весов, а также будки, стоимость весовой, рассчитанная по сроку службы представляется адекватной.</v>
          </cell>
          <cell r="AL8">
            <v>4708281</v>
          </cell>
          <cell r="AM8" t="str">
            <v>По сроку службы</v>
          </cell>
        </row>
        <row r="9">
          <cell r="A9">
            <v>7</v>
          </cell>
          <cell r="B9">
            <v>400</v>
          </cell>
          <cell r="C9" t="str">
            <v>Весовая на 30т об.S-98,1 кв.м.(Навес весовой (316) бр1  Литер Ж)  Кад№ 23:11:0607000:2204</v>
          </cell>
          <cell r="D9">
            <v>31031</v>
          </cell>
          <cell r="E9">
            <v>31031</v>
          </cell>
          <cell r="F9">
            <v>66624</v>
          </cell>
          <cell r="G9">
            <v>13.261762999999998</v>
          </cell>
          <cell r="H9">
            <v>883551.6981119999</v>
          </cell>
          <cell r="I9">
            <v>31.063013698630137</v>
          </cell>
          <cell r="J9" t="str">
            <v>кирпичные</v>
          </cell>
          <cell r="K9">
            <v>0</v>
          </cell>
          <cell r="L9">
            <v>60</v>
          </cell>
          <cell r="M9">
            <v>0.517716894977169</v>
          </cell>
          <cell r="N9">
            <v>0</v>
          </cell>
          <cell r="O9">
            <v>0</v>
          </cell>
          <cell r="P9">
            <v>0.517716894977169</v>
          </cell>
          <cell r="Q9">
            <v>0</v>
          </cell>
          <cell r="R9">
            <v>0</v>
          </cell>
          <cell r="S9" t="str">
            <v>Не соответствует</v>
          </cell>
          <cell r="T9">
            <v>426122</v>
          </cell>
          <cell r="U9">
            <v>4343.7512742099898</v>
          </cell>
          <cell r="V9" t="e">
            <v>#DIV/0!</v>
          </cell>
          <cell r="W9" t="str">
            <v>Соответствует</v>
          </cell>
          <cell r="X9" t="str">
            <v>удовлетворительное</v>
          </cell>
          <cell r="Y9">
            <v>0.5</v>
          </cell>
          <cell r="Z9">
            <v>441775.84905599995</v>
          </cell>
          <cell r="AA9">
            <v>4503.3216009785929</v>
          </cell>
          <cell r="AB9" t="e">
            <v>#DIV/0!</v>
          </cell>
          <cell r="AC9" t="str">
            <v>Соответствует</v>
          </cell>
          <cell r="AD9" t="str">
            <v>Не рассчитывалась</v>
          </cell>
          <cell r="AE9" t="str">
            <v>Не рассчитывалась</v>
          </cell>
          <cell r="AF9" t="e">
            <v>#VALUE!</v>
          </cell>
          <cell r="AG9">
            <v>98.1</v>
          </cell>
          <cell r="AH9" t="str">
            <v>будет использоваться</v>
          </cell>
          <cell r="AI9">
            <v>0</v>
          </cell>
          <cell r="AL9">
            <v>426122</v>
          </cell>
          <cell r="AM9" t="str">
            <v>По сроку службы</v>
          </cell>
        </row>
        <row r="10">
          <cell r="A10">
            <v>8</v>
          </cell>
          <cell r="B10">
            <v>397</v>
          </cell>
          <cell r="C10" t="str">
            <v>Гараж  для  а/машин (419) АТП Об.S-2122,9 кв.м. Литер Б  Кад№ 23:11:0607000:1914</v>
          </cell>
          <cell r="D10">
            <v>24456</v>
          </cell>
          <cell r="E10">
            <v>24456</v>
          </cell>
          <cell r="F10">
            <v>272726</v>
          </cell>
          <cell r="G10">
            <v>13.261762999999998</v>
          </cell>
          <cell r="H10">
            <v>3616827.5759379994</v>
          </cell>
          <cell r="I10">
            <v>49.076712328767123</v>
          </cell>
          <cell r="J10" t="str">
            <v>каменные</v>
          </cell>
          <cell r="K10">
            <v>0</v>
          </cell>
          <cell r="L10">
            <v>60</v>
          </cell>
          <cell r="M10">
            <v>0.8</v>
          </cell>
          <cell r="N10">
            <v>0</v>
          </cell>
          <cell r="O10">
            <v>0</v>
          </cell>
          <cell r="P10">
            <v>0.8</v>
          </cell>
          <cell r="Q10">
            <v>170453.24</v>
          </cell>
          <cell r="R10">
            <v>80.29263742993075</v>
          </cell>
          <cell r="S10" t="str">
            <v>Не соответствует</v>
          </cell>
          <cell r="T10">
            <v>723366</v>
          </cell>
          <cell r="U10">
            <v>340.74426492062742</v>
          </cell>
          <cell r="V10">
            <v>4.2437797016941419</v>
          </cell>
          <cell r="W10" t="str">
            <v>Соответствует</v>
          </cell>
          <cell r="X10" t="str">
            <v>неудовлетворительное</v>
          </cell>
          <cell r="Y10">
            <v>0.8</v>
          </cell>
          <cell r="Z10">
            <v>723365.5151875997</v>
          </cell>
          <cell r="AA10">
            <v>340.74403654792957</v>
          </cell>
          <cell r="AB10">
            <v>4.2437768574396104</v>
          </cell>
          <cell r="AC10" t="str">
            <v>Соответствует</v>
          </cell>
          <cell r="AD10" t="str">
            <v>Не рассчитывалась</v>
          </cell>
          <cell r="AE10" t="str">
            <v>Не рассчитывалась</v>
          </cell>
          <cell r="AF10" t="e">
            <v>#VALUE!</v>
          </cell>
          <cell r="AG10">
            <v>2122.9</v>
          </cell>
          <cell r="AH10" t="str">
            <v>будет использоваться</v>
          </cell>
          <cell r="AI10" t="str">
            <v>Уточнить состояние по фото</v>
          </cell>
          <cell r="AL10">
            <v>723365.5151875997</v>
          </cell>
          <cell r="AM10" t="str">
            <v>Экспертно</v>
          </cell>
        </row>
        <row r="11">
          <cell r="A11">
            <v>9</v>
          </cell>
          <cell r="B11">
            <v>395</v>
          </cell>
          <cell r="C11" t="str">
            <v>Гараж на 50 а/машин (426) АТП Об.S-1849,4 кв.м. Литер В Кад№  23:11:0607000:1913</v>
          </cell>
          <cell r="D11">
            <v>30300</v>
          </cell>
          <cell r="E11">
            <v>30300</v>
          </cell>
          <cell r="F11">
            <v>736585</v>
          </cell>
          <cell r="G11">
            <v>13.261762999999998</v>
          </cell>
          <cell r="H11">
            <v>9768415.6993549988</v>
          </cell>
          <cell r="I11">
            <v>33.065753424657537</v>
          </cell>
          <cell r="J11" t="str">
            <v>каменные</v>
          </cell>
          <cell r="K11">
            <v>0</v>
          </cell>
          <cell r="L11">
            <v>60</v>
          </cell>
          <cell r="M11">
            <v>0.55109589041095897</v>
          </cell>
          <cell r="N11">
            <v>0</v>
          </cell>
          <cell r="O11">
            <v>0</v>
          </cell>
          <cell r="P11">
            <v>0.55109589041095897</v>
          </cell>
          <cell r="Q11">
            <v>0</v>
          </cell>
          <cell r="R11">
            <v>0</v>
          </cell>
          <cell r="S11" t="str">
            <v>Не соответствует</v>
          </cell>
          <cell r="T11">
            <v>4385082</v>
          </cell>
          <cell r="U11">
            <v>2371.0835946793554</v>
          </cell>
          <cell r="V11" t="e">
            <v>#DIV/0!</v>
          </cell>
          <cell r="W11" t="str">
            <v>Соответствует</v>
          </cell>
          <cell r="X11" t="str">
            <v>удовлетворительное</v>
          </cell>
          <cell r="Y11">
            <v>0.6</v>
          </cell>
          <cell r="Z11">
            <v>3907366.2797419997</v>
          </cell>
          <cell r="AA11">
            <v>2112.775105300097</v>
          </cell>
          <cell r="AB11" t="e">
            <v>#DIV/0!</v>
          </cell>
          <cell r="AC11" t="str">
            <v>Соответствует</v>
          </cell>
          <cell r="AD11" t="str">
            <v>Не рассчитывалась</v>
          </cell>
          <cell r="AE11" t="str">
            <v>Не рассчитывалась</v>
          </cell>
          <cell r="AF11" t="e">
            <v>#VALUE!</v>
          </cell>
          <cell r="AG11">
            <v>1849.4</v>
          </cell>
          <cell r="AH11" t="str">
            <v>будет использоваться</v>
          </cell>
          <cell r="AI11">
            <v>0</v>
          </cell>
          <cell r="AL11">
            <v>3907366.2797419997</v>
          </cell>
          <cell r="AM11" t="str">
            <v>Экспертно</v>
          </cell>
        </row>
        <row r="12">
          <cell r="A12">
            <v>10</v>
          </cell>
          <cell r="B12">
            <v>548</v>
          </cell>
          <cell r="C12" t="str">
            <v>Гостиница   Об.пл. 489,3 кв.м.  86  Литер А Кад№ 23:11:0603308:112</v>
          </cell>
          <cell r="D12">
            <v>25552</v>
          </cell>
          <cell r="E12">
            <v>25552</v>
          </cell>
          <cell r="F12">
            <v>3056466.07</v>
          </cell>
          <cell r="G12">
            <v>13.261762999999998</v>
          </cell>
          <cell r="H12">
            <v>40534128.637881406</v>
          </cell>
          <cell r="I12">
            <v>46.073972602739723</v>
          </cell>
          <cell r="J12" t="str">
            <v>бутовые обложены камнем</v>
          </cell>
          <cell r="K12">
            <v>0</v>
          </cell>
          <cell r="L12">
            <v>60</v>
          </cell>
          <cell r="M12">
            <v>0.76789954337899535</v>
          </cell>
          <cell r="N12">
            <v>0</v>
          </cell>
          <cell r="O12">
            <v>0</v>
          </cell>
          <cell r="P12">
            <v>0.76789954337899535</v>
          </cell>
          <cell r="Q12">
            <v>0</v>
          </cell>
          <cell r="R12">
            <v>0</v>
          </cell>
          <cell r="S12" t="str">
            <v>Не соответствует</v>
          </cell>
          <cell r="T12">
            <v>9407990</v>
          </cell>
          <cell r="U12">
            <v>19227.447373799303</v>
          </cell>
          <cell r="V12" t="e">
            <v>#DIV/0!</v>
          </cell>
          <cell r="W12" t="str">
            <v>Соответствует</v>
          </cell>
          <cell r="X12" t="str">
            <v>хорошее</v>
          </cell>
          <cell r="Y12">
            <v>0.2</v>
          </cell>
          <cell r="Z12">
            <v>32427302.910305128</v>
          </cell>
          <cell r="AA12">
            <v>66272.844697128807</v>
          </cell>
          <cell r="AB12" t="e">
            <v>#DIV/0!</v>
          </cell>
          <cell r="AC12" t="str">
            <v>Не соответствует</v>
          </cell>
          <cell r="AD12" t="str">
            <v>Не рассчитывалась</v>
          </cell>
          <cell r="AE12" t="str">
            <v>Не рассчитывалась</v>
          </cell>
          <cell r="AF12" t="e">
            <v>#VALUE!</v>
          </cell>
          <cell r="AG12">
            <v>489.3</v>
          </cell>
          <cell r="AH12" t="str">
            <v>будет использоваться</v>
          </cell>
          <cell r="AI12" t="str">
            <v>Уточнить состояние по фото</v>
          </cell>
          <cell r="AL12">
            <v>9407990</v>
          </cell>
          <cell r="AM12" t="str">
            <v>По сроку службы</v>
          </cell>
        </row>
        <row r="13">
          <cell r="A13">
            <v>11</v>
          </cell>
          <cell r="B13">
            <v>385</v>
          </cell>
          <cell r="C13" t="str">
            <v>Диспетчерская (Зд.  диспетчерской автопарка (417) АТП об.пл.29,5кв.м Литер А Кад№ 23:11:0607000:2224</v>
          </cell>
          <cell r="D13">
            <v>24091</v>
          </cell>
          <cell r="E13">
            <v>24091</v>
          </cell>
          <cell r="F13">
            <v>53949</v>
          </cell>
          <cell r="G13">
            <v>13.261762999999998</v>
          </cell>
          <cell r="H13">
            <v>715458.85208699992</v>
          </cell>
          <cell r="I13">
            <v>50.076712328767123</v>
          </cell>
          <cell r="J13" t="str">
            <v>каменные</v>
          </cell>
          <cell r="K13">
            <v>0</v>
          </cell>
          <cell r="L13">
            <v>60</v>
          </cell>
          <cell r="M13">
            <v>0.8</v>
          </cell>
          <cell r="N13">
            <v>0</v>
          </cell>
          <cell r="O13">
            <v>0</v>
          </cell>
          <cell r="P13">
            <v>0.8</v>
          </cell>
          <cell r="Q13">
            <v>33718.520000000004</v>
          </cell>
          <cell r="R13">
            <v>1143.0006779661019</v>
          </cell>
          <cell r="S13" t="str">
            <v>Не соответствует</v>
          </cell>
          <cell r="T13">
            <v>143092</v>
          </cell>
          <cell r="U13">
            <v>4850.5762711864409</v>
          </cell>
          <cell r="V13">
            <v>4.2437212546695404</v>
          </cell>
          <cell r="W13" t="str">
            <v>Соответствует</v>
          </cell>
          <cell r="X13" t="str">
            <v>удовлетворительное</v>
          </cell>
          <cell r="Y13">
            <v>0.4</v>
          </cell>
          <cell r="Z13">
            <v>429275.31125219993</v>
          </cell>
          <cell r="AA13">
            <v>14551.705466176269</v>
          </cell>
          <cell r="AB13">
            <v>12.731143337613865</v>
          </cell>
          <cell r="AC13" t="str">
            <v>Не соответствует</v>
          </cell>
          <cell r="AD13" t="str">
            <v>Не рассчитывалась</v>
          </cell>
          <cell r="AE13" t="str">
            <v>Не рассчитывалась</v>
          </cell>
          <cell r="AF13" t="e">
            <v>#VALUE!</v>
          </cell>
          <cell r="AG13">
            <v>29.5</v>
          </cell>
          <cell r="AH13" t="str">
            <v>будет использоваться</v>
          </cell>
          <cell r="AI13">
            <v>0</v>
          </cell>
          <cell r="AL13">
            <v>143092</v>
          </cell>
          <cell r="AM13" t="str">
            <v>По сроку службы</v>
          </cell>
        </row>
        <row r="14">
          <cell r="A14">
            <v>12</v>
          </cell>
          <cell r="B14" t="str">
            <v>Р00008440</v>
          </cell>
          <cell r="C14" t="str">
            <v>Диспетчерская АТП (новая)  Об.пл. 41,2 кв.м. Литер А  Кад№  000:03:220:002:000026070:0001</v>
          </cell>
          <cell r="D14">
            <v>40543</v>
          </cell>
          <cell r="E14">
            <v>40543</v>
          </cell>
          <cell r="F14">
            <v>871456.38</v>
          </cell>
          <cell r="G14">
            <v>1.4577409162717219</v>
          </cell>
          <cell r="H14">
            <v>1270357.6218720379</v>
          </cell>
          <cell r="I14">
            <v>5.0027397260273974</v>
          </cell>
          <cell r="J14" t="str">
            <v>ж/б блоки, кирпичные</v>
          </cell>
          <cell r="K14">
            <v>0</v>
          </cell>
          <cell r="L14">
            <v>60</v>
          </cell>
          <cell r="M14">
            <v>8.337899543378996E-2</v>
          </cell>
          <cell r="N14">
            <v>0</v>
          </cell>
          <cell r="O14">
            <v>0</v>
          </cell>
          <cell r="P14">
            <v>8.3378995433790015E-2</v>
          </cell>
          <cell r="Q14">
            <v>730990.5</v>
          </cell>
          <cell r="R14">
            <v>17742.48786407767</v>
          </cell>
          <cell r="S14" t="str">
            <v>Не соответствует</v>
          </cell>
          <cell r="T14">
            <v>1164436</v>
          </cell>
          <cell r="U14">
            <v>28263.009708737864</v>
          </cell>
          <cell r="V14">
            <v>1.5929564064102064</v>
          </cell>
          <cell r="W14" t="str">
            <v>Соответствует</v>
          </cell>
          <cell r="X14" t="str">
            <v>отличное</v>
          </cell>
          <cell r="Y14">
            <v>0.15</v>
          </cell>
          <cell r="Z14">
            <v>1079803.9785912321</v>
          </cell>
          <cell r="AA14">
            <v>26208.834431826021</v>
          </cell>
          <cell r="AB14">
            <v>1.4771792227002021</v>
          </cell>
          <cell r="AC14" t="str">
            <v>Соответствует</v>
          </cell>
          <cell r="AD14" t="str">
            <v>Не рассчитывалась</v>
          </cell>
          <cell r="AE14" t="str">
            <v>Не рассчитывалась</v>
          </cell>
          <cell r="AF14" t="e">
            <v>#VALUE!</v>
          </cell>
          <cell r="AG14">
            <v>41.2</v>
          </cell>
          <cell r="AH14">
            <v>0</v>
          </cell>
          <cell r="AI14" t="str">
            <v>Возможно с оборудованием? Уточнить состояние.</v>
          </cell>
          <cell r="AL14">
            <v>1079803.9785912321</v>
          </cell>
          <cell r="AM14" t="str">
            <v>Экспертно</v>
          </cell>
        </row>
        <row r="15">
          <cell r="A15">
            <v>16</v>
          </cell>
          <cell r="B15" t="str">
            <v>Р00003143</v>
          </cell>
          <cell r="C15" t="str">
            <v>Жилой дом об.S-136,1кв.м. Литер А (Бригадный дом (384) бр4) Кад№ 23:11:0702000:760</v>
          </cell>
          <cell r="D15">
            <v>32857</v>
          </cell>
          <cell r="E15">
            <v>32857</v>
          </cell>
          <cell r="F15">
            <v>620637.66</v>
          </cell>
          <cell r="G15">
            <v>13.261762999999998</v>
          </cell>
          <cell r="H15">
            <v>8230749.5557945799</v>
          </cell>
          <cell r="I15">
            <v>26.06027397260274</v>
          </cell>
          <cell r="J15" t="str">
            <v>каменные</v>
          </cell>
          <cell r="K15">
            <v>0</v>
          </cell>
          <cell r="L15">
            <v>60</v>
          </cell>
          <cell r="M15">
            <v>0.43433789954337898</v>
          </cell>
          <cell r="N15">
            <v>0</v>
          </cell>
          <cell r="O15">
            <v>0</v>
          </cell>
          <cell r="P15">
            <v>0.43433789954337898</v>
          </cell>
          <cell r="Q15">
            <v>461659.02</v>
          </cell>
          <cell r="R15">
            <v>3392.0574577516536</v>
          </cell>
          <cell r="S15" t="str">
            <v>Не соответствует</v>
          </cell>
          <cell r="T15">
            <v>4655823</v>
          </cell>
          <cell r="U15">
            <v>34208.839088905217</v>
          </cell>
          <cell r="V15">
            <v>10.084982201799068</v>
          </cell>
          <cell r="W15" t="str">
            <v>Соответствует</v>
          </cell>
          <cell r="X15" t="str">
            <v>хорошее</v>
          </cell>
          <cell r="Y15">
            <v>0.4</v>
          </cell>
          <cell r="Z15">
            <v>4938449.7334767478</v>
          </cell>
          <cell r="AA15">
            <v>36285.449915332458</v>
          </cell>
          <cell r="AB15">
            <v>10.697180212089753</v>
          </cell>
          <cell r="AC15" t="str">
            <v>Соответствует</v>
          </cell>
          <cell r="AD15" t="str">
            <v>Не рассчитывалась</v>
          </cell>
          <cell r="AE15" t="str">
            <v>Не рассчитывалась</v>
          </cell>
          <cell r="AF15" t="e">
            <v>#VALUE!</v>
          </cell>
          <cell r="AG15">
            <v>136.1</v>
          </cell>
          <cell r="AH15" t="str">
            <v>будет использоваться</v>
          </cell>
          <cell r="AI15" t="str">
            <v>Уточнить состояние по фото</v>
          </cell>
          <cell r="AL15">
            <v>4655823</v>
          </cell>
          <cell r="AM15" t="str">
            <v>По сроку службы</v>
          </cell>
        </row>
        <row r="16">
          <cell r="A16">
            <v>17</v>
          </cell>
          <cell r="B16" t="str">
            <v>Ц00003440</v>
          </cell>
          <cell r="C16" t="str">
            <v>Здание ангара Об.пл. 873,4 кв.м. Литер Б   Кад№ 23:24:0702055:22           (НП  бр 2)</v>
          </cell>
          <cell r="D16">
            <v>41935</v>
          </cell>
          <cell r="E16">
            <v>41935</v>
          </cell>
          <cell r="F16">
            <v>207630.67</v>
          </cell>
          <cell r="G16">
            <v>0.98663458968190321</v>
          </cell>
          <cell r="H16">
            <v>204855.60090082866</v>
          </cell>
          <cell r="I16">
            <v>1.189041095890411</v>
          </cell>
          <cell r="J16" t="str">
            <v>стеновые железобетонные панели</v>
          </cell>
          <cell r="K16">
            <v>0</v>
          </cell>
          <cell r="L16">
            <v>50</v>
          </cell>
          <cell r="M16">
            <v>2.3780821917808219E-2</v>
          </cell>
          <cell r="N16">
            <v>0</v>
          </cell>
          <cell r="O16">
            <v>0</v>
          </cell>
          <cell r="P16">
            <v>2.378082191780817E-2</v>
          </cell>
          <cell r="Q16">
            <v>173432.73</v>
          </cell>
          <cell r="R16">
            <v>198.57193725669799</v>
          </cell>
          <cell r="S16" t="str">
            <v>Соответствует</v>
          </cell>
          <cell r="T16">
            <v>199984</v>
          </cell>
          <cell r="U16">
            <v>228.97183421112894</v>
          </cell>
          <cell r="V16">
            <v>1.1530926140642541</v>
          </cell>
          <cell r="W16" t="str">
            <v>Соответствует</v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  <cell r="AB16" t="e">
            <v>#VALUE!</v>
          </cell>
          <cell r="AC16" t="str">
            <v>Не рассчитывалась</v>
          </cell>
          <cell r="AD16" t="str">
            <v>Не рассчитывалась</v>
          </cell>
          <cell r="AE16" t="str">
            <v>Не рассчитывалась</v>
          </cell>
          <cell r="AF16" t="e">
            <v>#VALUE!</v>
          </cell>
          <cell r="AG16">
            <v>873.4</v>
          </cell>
          <cell r="AH16">
            <v>0</v>
          </cell>
          <cell r="AI16" t="str">
            <v>Уточнить состояние по фото</v>
          </cell>
          <cell r="AJ16" t="str">
            <v>Фото не предоставлено. Уточнить состояние. Чем обусловлена столь низкая балансовая стоимость 207 тыс. руб. за новый ж/б объект площадью 873 кв. м?</v>
          </cell>
          <cell r="AK16">
            <v>1</v>
          </cell>
          <cell r="AL16">
            <v>199984</v>
          </cell>
          <cell r="AM16" t="str">
            <v>По сроку службы</v>
          </cell>
        </row>
        <row r="17">
          <cell r="A17">
            <v>18</v>
          </cell>
          <cell r="B17" t="str">
            <v>Ц00001723</v>
          </cell>
          <cell r="C17" t="str">
            <v>Здание весовой   Об.пл. 18кв.м. Литер В Кад№ 23:11:0902000:306  (КС МТФ№1мельница)</v>
          </cell>
          <cell r="D17">
            <v>41929</v>
          </cell>
          <cell r="E17">
            <v>41929</v>
          </cell>
          <cell r="F17">
            <v>1094062.3999999999</v>
          </cell>
          <cell r="G17">
            <v>0.98663458968190321</v>
          </cell>
          <cell r="H17">
            <v>1079439.8071103981</v>
          </cell>
          <cell r="I17">
            <v>1.2054794520547945</v>
          </cell>
          <cell r="J17" t="str">
            <v>металлические</v>
          </cell>
          <cell r="K17">
            <v>0</v>
          </cell>
          <cell r="L17">
            <v>35</v>
          </cell>
          <cell r="M17">
            <v>3.444227005870841E-2</v>
          </cell>
          <cell r="N17">
            <v>0</v>
          </cell>
          <cell r="O17">
            <v>0</v>
          </cell>
          <cell r="P17">
            <v>3.4442270058708369E-2</v>
          </cell>
          <cell r="Q17">
            <v>967476.6399999999</v>
          </cell>
          <cell r="R17">
            <v>53748.702222222215</v>
          </cell>
          <cell r="S17" t="str">
            <v>Соответствует</v>
          </cell>
          <cell r="T17">
            <v>1042261</v>
          </cell>
          <cell r="U17">
            <v>57903.388888888891</v>
          </cell>
          <cell r="V17">
            <v>1.0772983624700232</v>
          </cell>
          <cell r="W17" t="str">
            <v>Соответствует</v>
          </cell>
          <cell r="X17" t="str">
            <v>отличное</v>
          </cell>
          <cell r="Y17">
            <v>0.1</v>
          </cell>
          <cell r="Z17">
            <v>971495.82639935834</v>
          </cell>
          <cell r="AA17">
            <v>53971.990355519905</v>
          </cell>
          <cell r="AB17">
            <v>1.0041542981330882</v>
          </cell>
          <cell r="AC17" t="str">
            <v>Соответствует</v>
          </cell>
          <cell r="AD17" t="str">
            <v>Не рассчитывалась</v>
          </cell>
          <cell r="AE17" t="str">
            <v>Не рассчитывалась</v>
          </cell>
          <cell r="AF17" t="e">
            <v>#VALUE!</v>
          </cell>
          <cell r="AG17">
            <v>18</v>
          </cell>
          <cell r="AH17">
            <v>0</v>
          </cell>
          <cell r="AI17" t="str">
            <v>Возможно с оборудованием?</v>
          </cell>
          <cell r="AL17">
            <v>971495.82639935834</v>
          </cell>
          <cell r="AM17" t="str">
            <v>Экспертно</v>
          </cell>
        </row>
        <row r="18">
          <cell r="A18">
            <v>19</v>
          </cell>
          <cell r="B18" t="str">
            <v>Ц00002247</v>
          </cell>
          <cell r="C18" t="str">
            <v>Здание весовой Об.пл. 32,3кв.м. Литер Г Кад№ 23:24:0701000:738  (НП  МТФ№3)</v>
          </cell>
          <cell r="D18">
            <v>41934</v>
          </cell>
          <cell r="E18">
            <v>41934</v>
          </cell>
          <cell r="F18">
            <v>1522.72</v>
          </cell>
          <cell r="G18">
            <v>0.98663458968190321</v>
          </cell>
          <cell r="H18">
            <v>1502.3682224004276</v>
          </cell>
          <cell r="I18">
            <v>1.1917808219178083</v>
          </cell>
          <cell r="J18" t="str">
            <v>кирпичные</v>
          </cell>
          <cell r="K18">
            <v>0</v>
          </cell>
          <cell r="L18">
            <v>60</v>
          </cell>
          <cell r="M18">
            <v>1.9863013698630139E-2</v>
          </cell>
          <cell r="N18">
            <v>0</v>
          </cell>
          <cell r="O18">
            <v>0</v>
          </cell>
          <cell r="P18">
            <v>1.9863013698630194E-2</v>
          </cell>
          <cell r="Q18">
            <v>1451.88</v>
          </cell>
          <cell r="R18">
            <v>44.949845201238396</v>
          </cell>
          <cell r="S18" t="str">
            <v>Не соответствует</v>
          </cell>
          <cell r="T18">
            <v>1473</v>
          </cell>
          <cell r="U18">
            <v>45.60371517027864</v>
          </cell>
          <cell r="V18">
            <v>1.0145466567484915</v>
          </cell>
          <cell r="W18" t="str">
            <v>Не соответствует</v>
          </cell>
          <cell r="X18" t="str">
            <v>под снос</v>
          </cell>
          <cell r="Y18">
            <v>0.8</v>
          </cell>
          <cell r="Z18">
            <v>300.47364448008545</v>
          </cell>
          <cell r="AA18">
            <v>9.3025896123865479</v>
          </cell>
          <cell r="AB18">
            <v>0.20695487538920945</v>
          </cell>
          <cell r="AC18" t="str">
            <v>Соответствует</v>
          </cell>
          <cell r="AD18" t="str">
            <v>Не рассчитывалась</v>
          </cell>
          <cell r="AE18" t="str">
            <v>Не рассчитывалась</v>
          </cell>
          <cell r="AF18" t="e">
            <v>#VALUE!</v>
          </cell>
          <cell r="AG18">
            <v>32.299999999999997</v>
          </cell>
          <cell r="AH18">
            <v>0</v>
          </cell>
          <cell r="AI18" t="str">
            <v>Уточнить состояние по фото</v>
          </cell>
          <cell r="AJ18" t="str">
            <v>Дальнейшая эксплуатация и реконструкция нецелесообразны. Затраты на снос сопоставимы со стоимостью годных остатков.</v>
          </cell>
          <cell r="AL18">
            <v>300.47364448008545</v>
          </cell>
          <cell r="AM18" t="str">
            <v>Экспертно</v>
          </cell>
        </row>
        <row r="19">
          <cell r="A19">
            <v>20</v>
          </cell>
          <cell r="B19" t="str">
            <v>Ц00002238</v>
          </cell>
          <cell r="C19" t="str">
            <v>Здание ветамбулатории  Об.пл.373,1кв.м. Литер В Кад№ 23:24:0701000:713   (НП  МТФ№3)</v>
          </cell>
          <cell r="D19">
            <v>41934</v>
          </cell>
          <cell r="E19">
            <v>41934</v>
          </cell>
          <cell r="F19">
            <v>49737.39</v>
          </cell>
          <cell r="G19">
            <v>0.98663458968190321</v>
          </cell>
          <cell r="H19">
            <v>49072.629374498792</v>
          </cell>
          <cell r="I19">
            <v>1.1917808219178083</v>
          </cell>
          <cell r="J19" t="str">
            <v>кирпичные</v>
          </cell>
          <cell r="K19">
            <v>0</v>
          </cell>
          <cell r="L19">
            <v>60</v>
          </cell>
          <cell r="M19">
            <v>1.9863013698630139E-2</v>
          </cell>
          <cell r="N19">
            <v>0</v>
          </cell>
          <cell r="O19">
            <v>0</v>
          </cell>
          <cell r="P19">
            <v>1.9863013698630194E-2</v>
          </cell>
          <cell r="Q19">
            <v>30917.89</v>
          </cell>
          <cell r="R19">
            <v>82.867569016349492</v>
          </cell>
          <cell r="S19" t="str">
            <v>Соответствует</v>
          </cell>
          <cell r="T19">
            <v>48098</v>
          </cell>
          <cell r="U19">
            <v>128.91450013401231</v>
          </cell>
          <cell r="V19">
            <v>1.5556689023733508</v>
          </cell>
          <cell r="W19" t="str">
            <v>Соответствует</v>
          </cell>
          <cell r="X19" t="str">
            <v>удовлетворительное</v>
          </cell>
          <cell r="Y19">
            <v>0.4</v>
          </cell>
          <cell r="Z19">
            <v>29443.577624699275</v>
          </cell>
          <cell r="AA19">
            <v>78.916048310638629</v>
          </cell>
          <cell r="AB19">
            <v>0.95231523317727296</v>
          </cell>
          <cell r="AC19" t="str">
            <v>Соответствует</v>
          </cell>
          <cell r="AD19" t="str">
            <v>Не рассчитывалась</v>
          </cell>
          <cell r="AE19" t="str">
            <v>Не рассчитывалась</v>
          </cell>
          <cell r="AF19" t="e">
            <v>#VALUE!</v>
          </cell>
          <cell r="AG19">
            <v>373.1</v>
          </cell>
          <cell r="AH19">
            <v>0</v>
          </cell>
          <cell r="AI19" t="str">
            <v>Уточнить состояние по фото</v>
          </cell>
          <cell r="AJ19" t="str">
            <v>Чем обусловлена столь низкая балансовая стоимость 49 тыс. руб. за кирпичный объект площадью 373 кв. м?</v>
          </cell>
          <cell r="AK19">
            <v>1</v>
          </cell>
          <cell r="AL19">
            <v>29443.577624699275</v>
          </cell>
          <cell r="AM19" t="str">
            <v>Экспертно</v>
          </cell>
        </row>
        <row r="20">
          <cell r="A20">
            <v>21</v>
          </cell>
          <cell r="B20" t="str">
            <v>Ц00002237</v>
          </cell>
          <cell r="C20" t="str">
            <v>Здание газовой котельной Об.пл.165,7кв.м. Литер Б Кад№ 23:24:0701000:736   (НП  МТФ№3)</v>
          </cell>
          <cell r="D20">
            <v>41934</v>
          </cell>
          <cell r="E20">
            <v>41934</v>
          </cell>
          <cell r="F20">
            <v>79106.14</v>
          </cell>
          <cell r="G20">
            <v>0.98663458968190321</v>
          </cell>
          <cell r="H20">
            <v>78048.853980219195</v>
          </cell>
          <cell r="I20">
            <v>1.1917808219178083</v>
          </cell>
          <cell r="J20" t="str">
            <v>кирпичные</v>
          </cell>
          <cell r="K20">
            <v>0</v>
          </cell>
          <cell r="L20">
            <v>60</v>
          </cell>
          <cell r="M20">
            <v>1.9863013698630139E-2</v>
          </cell>
          <cell r="N20">
            <v>0</v>
          </cell>
          <cell r="O20">
            <v>0</v>
          </cell>
          <cell r="P20">
            <v>1.9863013698630194E-2</v>
          </cell>
          <cell r="Q20">
            <v>49174.14</v>
          </cell>
          <cell r="R20">
            <v>296.76608328304167</v>
          </cell>
          <cell r="S20" t="str">
            <v>Соответствует</v>
          </cell>
          <cell r="T20">
            <v>76499</v>
          </cell>
          <cell r="U20">
            <v>461.67169583584797</v>
          </cell>
          <cell r="V20">
            <v>1.5556754017457144</v>
          </cell>
          <cell r="W20" t="str">
            <v>Соответствует</v>
          </cell>
          <cell r="X20" t="str">
            <v>удовлетворительное</v>
          </cell>
          <cell r="Y20">
            <v>0.4</v>
          </cell>
          <cell r="Z20">
            <v>46829.312388131519</v>
          </cell>
          <cell r="AA20">
            <v>282.61504156989452</v>
          </cell>
          <cell r="AB20">
            <v>0.95231583893752936</v>
          </cell>
          <cell r="AC20" t="str">
            <v>Соответствует</v>
          </cell>
          <cell r="AD20" t="str">
            <v>Не рассчитывалась</v>
          </cell>
          <cell r="AE20" t="str">
            <v>Не рассчитывалась</v>
          </cell>
          <cell r="AF20" t="e">
            <v>#VALUE!</v>
          </cell>
          <cell r="AG20">
            <v>165.7</v>
          </cell>
          <cell r="AH20">
            <v>0</v>
          </cell>
          <cell r="AI20" t="str">
            <v>Уточнить состояние по фото</v>
          </cell>
          <cell r="AJ20" t="str">
            <v>Чем обусловлена столь низкая балансовая стоимость 79 тыс. руб. за кирпичный объект площадью 165 кв. м?</v>
          </cell>
          <cell r="AK20">
            <v>1</v>
          </cell>
          <cell r="AL20">
            <v>46829.312388131519</v>
          </cell>
          <cell r="AM20" t="str">
            <v>Экспертно</v>
          </cell>
        </row>
        <row r="21">
          <cell r="A21">
            <v>22</v>
          </cell>
          <cell r="B21">
            <v>426</v>
          </cell>
          <cell r="C21" t="str">
            <v xml:space="preserve">Здание инкубатора Об.пл. 239,5 кв.м.   Литер Б,Б1  Кад№ 23:11:0603308:78 </v>
          </cell>
          <cell r="D21">
            <v>37605</v>
          </cell>
          <cell r="E21">
            <v>37605</v>
          </cell>
          <cell r="F21">
            <v>180286.92</v>
          </cell>
          <cell r="G21">
            <v>4.5511713933415532</v>
          </cell>
          <cell r="H21">
            <v>820516.67289765715</v>
          </cell>
          <cell r="I21">
            <v>13.052054794520547</v>
          </cell>
          <cell r="J21" t="str">
            <v>каменные</v>
          </cell>
          <cell r="K21">
            <v>0</v>
          </cell>
          <cell r="L21">
            <v>60</v>
          </cell>
          <cell r="M21">
            <v>0.21753424657534245</v>
          </cell>
          <cell r="N21">
            <v>0</v>
          </cell>
          <cell r="O21">
            <v>0</v>
          </cell>
          <cell r="P21">
            <v>0.21753424657534248</v>
          </cell>
          <cell r="Q21">
            <v>131211.62</v>
          </cell>
          <cell r="R21">
            <v>547.8564509394572</v>
          </cell>
          <cell r="S21" t="str">
            <v>Не соответствует</v>
          </cell>
          <cell r="T21">
            <v>642026</v>
          </cell>
          <cell r="U21">
            <v>2680.6931106471816</v>
          </cell>
          <cell r="V21">
            <v>4.8930574898778021</v>
          </cell>
          <cell r="W21" t="str">
            <v>Соответствует</v>
          </cell>
          <cell r="X21" t="str">
            <v>удовлетворительное</v>
          </cell>
          <cell r="Y21">
            <v>0.4</v>
          </cell>
          <cell r="Z21">
            <v>492310.00373859424</v>
          </cell>
          <cell r="AA21">
            <v>2055.574128344861</v>
          </cell>
          <cell r="AB21">
            <v>3.7520305270112071</v>
          </cell>
          <cell r="AC21" t="str">
            <v>Соответствует</v>
          </cell>
          <cell r="AD21" t="str">
            <v>Не рассчитывалась</v>
          </cell>
          <cell r="AE21" t="str">
            <v>Не рассчитывалась</v>
          </cell>
          <cell r="AF21" t="e">
            <v>#VALUE!</v>
          </cell>
          <cell r="AG21">
            <v>239.5</v>
          </cell>
          <cell r="AH21" t="str">
            <v>не будет использоваться</v>
          </cell>
          <cell r="AI21">
            <v>0</v>
          </cell>
          <cell r="AL21">
            <v>0</v>
          </cell>
          <cell r="AM21" t="str">
            <v>Не рассчитывалась</v>
          </cell>
        </row>
        <row r="22">
          <cell r="A22">
            <v>25</v>
          </cell>
          <cell r="B22" t="str">
            <v>Ц00002243</v>
          </cell>
          <cell r="C22" t="str">
            <v>Здание насосной Об.пл. 18,7кв.м. ЛитерГ1 Кад№ 23:24:0701000:734  (НП  МТФ№3)</v>
          </cell>
          <cell r="D22">
            <v>41934</v>
          </cell>
          <cell r="E22">
            <v>41934</v>
          </cell>
          <cell r="F22">
            <v>101.66</v>
          </cell>
          <cell r="G22">
            <v>0.98663458968190321</v>
          </cell>
          <cell r="H22">
            <v>100.30127238706228</v>
          </cell>
          <cell r="I22">
            <v>1.1917808219178083</v>
          </cell>
          <cell r="J22" t="str">
            <v>кирпичные</v>
          </cell>
          <cell r="K22">
            <v>0</v>
          </cell>
          <cell r="L22">
            <v>60</v>
          </cell>
          <cell r="M22">
            <v>1.9863013698630139E-2</v>
          </cell>
          <cell r="N22">
            <v>0</v>
          </cell>
          <cell r="O22">
            <v>0</v>
          </cell>
          <cell r="P22">
            <v>1.9863013698630194E-2</v>
          </cell>
          <cell r="Q22">
            <v>0</v>
          </cell>
          <cell r="R22">
            <v>0</v>
          </cell>
          <cell r="S22" t="str">
            <v>Соответствует</v>
          </cell>
          <cell r="T22">
            <v>98</v>
          </cell>
          <cell r="U22">
            <v>5.240641711229947</v>
          </cell>
          <cell r="V22" t="e">
            <v>#DIV/0!</v>
          </cell>
          <cell r="W22" t="str">
            <v>Соответствует</v>
          </cell>
          <cell r="X22" t="str">
            <v>неудовлетворительное</v>
          </cell>
          <cell r="Y22">
            <v>0.8</v>
          </cell>
          <cell r="Z22">
            <v>20.060254477412453</v>
          </cell>
          <cell r="AA22">
            <v>1.072740881145051</v>
          </cell>
          <cell r="AB22" t="e">
            <v>#DIV/0!</v>
          </cell>
          <cell r="AC22" t="str">
            <v>Соответствует</v>
          </cell>
          <cell r="AD22" t="str">
            <v>Не рассчитывалась</v>
          </cell>
          <cell r="AE22" t="str">
            <v>Не рассчитывалась</v>
          </cell>
          <cell r="AF22" t="e">
            <v>#VALUE!</v>
          </cell>
          <cell r="AG22">
            <v>18.7</v>
          </cell>
          <cell r="AH22" t="str">
            <v>будет использоваться</v>
          </cell>
          <cell r="AI22" t="str">
            <v>Уточнить состояние по фото</v>
          </cell>
          <cell r="AJ22" t="str">
            <v>Затраты на реконструкцию сопоставимы со стоимостью нового строительства.</v>
          </cell>
          <cell r="AL22">
            <v>20.060254477412453</v>
          </cell>
          <cell r="AM22" t="str">
            <v>Экспертно</v>
          </cell>
        </row>
        <row r="23">
          <cell r="A23">
            <v>26</v>
          </cell>
          <cell r="B23">
            <v>319</v>
          </cell>
          <cell r="C23" t="str">
            <v>Здание нежилое об.S-629,5кв.м.  (Корпус ОТФ(456) бр3 Литер В) Кад№ 23:11:0702000:863</v>
          </cell>
          <cell r="D23">
            <v>23360</v>
          </cell>
          <cell r="E23">
            <v>23360</v>
          </cell>
          <cell r="F23">
            <v>114623</v>
          </cell>
          <cell r="G23">
            <v>13.261762999999998</v>
          </cell>
          <cell r="H23">
            <v>1520103.0603489999</v>
          </cell>
          <cell r="I23">
            <v>52.079452054794523</v>
          </cell>
          <cell r="J23" t="str">
            <v>каменные</v>
          </cell>
          <cell r="K23">
            <v>0</v>
          </cell>
          <cell r="L23">
            <v>60</v>
          </cell>
          <cell r="M23">
            <v>0.8</v>
          </cell>
          <cell r="N23">
            <v>0</v>
          </cell>
          <cell r="O23">
            <v>0</v>
          </cell>
          <cell r="P23">
            <v>0.8</v>
          </cell>
          <cell r="Q23">
            <v>0</v>
          </cell>
          <cell r="R23">
            <v>0</v>
          </cell>
          <cell r="S23" t="str">
            <v>Не соответствует</v>
          </cell>
          <cell r="T23">
            <v>304021</v>
          </cell>
          <cell r="U23">
            <v>482.95631453534548</v>
          </cell>
          <cell r="V23" t="e">
            <v>#DIV/0!</v>
          </cell>
          <cell r="W23" t="str">
            <v>Соответствует</v>
          </cell>
          <cell r="X23" t="str">
            <v>неудовлетворительное</v>
          </cell>
          <cell r="Y23">
            <v>0.6</v>
          </cell>
          <cell r="Z23">
            <v>608041.22413959994</v>
          </cell>
          <cell r="AA23">
            <v>965.91139656806979</v>
          </cell>
          <cell r="AB23" t="e">
            <v>#DIV/0!</v>
          </cell>
          <cell r="AC23" t="str">
            <v>Не соответствует</v>
          </cell>
          <cell r="AD23" t="str">
            <v>Не рассчитывалась</v>
          </cell>
          <cell r="AE23" t="str">
            <v>Не рассчитывалась</v>
          </cell>
          <cell r="AF23" t="e">
            <v>#VALUE!</v>
          </cell>
          <cell r="AG23">
            <v>629.5</v>
          </cell>
          <cell r="AH23" t="str">
            <v>не будет использоваться</v>
          </cell>
          <cell r="AI23" t="str">
            <v>Уточнить состояние по фото</v>
          </cell>
          <cell r="AL23">
            <v>0</v>
          </cell>
          <cell r="AM23" t="str">
            <v>Не рассчитывалась</v>
          </cell>
        </row>
        <row r="24">
          <cell r="A24">
            <v>27</v>
          </cell>
          <cell r="B24" t="str">
            <v>Ц00001323</v>
          </cell>
          <cell r="C24" t="str">
            <v>Здание нежилое Об.пл. 1086,1 кв.м. Литер С  Кад№ 23:11:0902000:274 (Сенохранилище №2)  (КС  МТФ№1)</v>
          </cell>
          <cell r="D24">
            <v>41898</v>
          </cell>
          <cell r="E24">
            <v>41898</v>
          </cell>
          <cell r="F24">
            <v>1246866.43</v>
          </cell>
          <cell r="G24">
            <v>0.98151841510437443</v>
          </cell>
          <cell r="H24">
            <v>1223822.3622204494</v>
          </cell>
          <cell r="I24">
            <v>1.2904109589041095</v>
          </cell>
          <cell r="J24" t="str">
            <v>металлические</v>
          </cell>
          <cell r="K24">
            <v>0</v>
          </cell>
          <cell r="L24">
            <v>35</v>
          </cell>
          <cell r="M24">
            <v>3.6868884540117414E-2</v>
          </cell>
          <cell r="N24">
            <v>0</v>
          </cell>
          <cell r="O24">
            <v>0</v>
          </cell>
          <cell r="P24">
            <v>3.6868884540117386E-2</v>
          </cell>
          <cell r="Q24">
            <v>1026831.1299999999</v>
          </cell>
          <cell r="R24">
            <v>945.42963815486598</v>
          </cell>
          <cell r="S24" t="str">
            <v>Соответствует</v>
          </cell>
          <cell r="T24">
            <v>1178701</v>
          </cell>
          <cell r="U24">
            <v>1085.2601049627108</v>
          </cell>
          <cell r="V24">
            <v>1.1479015054792896</v>
          </cell>
          <cell r="W24" t="str">
            <v>Соответствует</v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  <cell r="AB24" t="e">
            <v>#VALUE!</v>
          </cell>
          <cell r="AC24" t="str">
            <v>Не рассчитывалась</v>
          </cell>
          <cell r="AD24" t="str">
            <v>Не рассчитывалась</v>
          </cell>
          <cell r="AE24" t="str">
            <v>Не рассчитывалась</v>
          </cell>
          <cell r="AF24" t="e">
            <v>#VALUE!</v>
          </cell>
          <cell r="AG24">
            <v>1086.0999999999999</v>
          </cell>
          <cell r="AH24">
            <v>0</v>
          </cell>
          <cell r="AI24">
            <v>0</v>
          </cell>
          <cell r="AJ2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4">
            <v>1178701</v>
          </cell>
          <cell r="AM24" t="str">
            <v>По сроку службы</v>
          </cell>
        </row>
        <row r="25">
          <cell r="A25">
            <v>28</v>
          </cell>
          <cell r="B25" t="str">
            <v>Ц00001322</v>
          </cell>
          <cell r="C25" t="str">
            <v>Здание нежилое Об.пл. 1095,1 кв.м. Литер Р Кад№ 23:11:0902000:277 (Сенохранилище №1 )  (КС  МТФ№1)</v>
          </cell>
          <cell r="D25">
            <v>41898</v>
          </cell>
          <cell r="E25">
            <v>41898</v>
          </cell>
          <cell r="F25">
            <v>1725954.07</v>
          </cell>
          <cell r="G25">
            <v>0.98151841510437443</v>
          </cell>
          <cell r="H25">
            <v>1694055.7033293445</v>
          </cell>
          <cell r="I25">
            <v>1.2904109589041095</v>
          </cell>
          <cell r="J25" t="str">
            <v>металлические</v>
          </cell>
          <cell r="K25">
            <v>0</v>
          </cell>
          <cell r="L25">
            <v>35</v>
          </cell>
          <cell r="M25">
            <v>3.6868884540117414E-2</v>
          </cell>
          <cell r="N25">
            <v>0</v>
          </cell>
          <cell r="O25">
            <v>0</v>
          </cell>
          <cell r="P25">
            <v>3.6868884540117386E-2</v>
          </cell>
          <cell r="Q25">
            <v>1421373.9700000002</v>
          </cell>
          <cell r="R25">
            <v>1297.9398867683319</v>
          </cell>
          <cell r="S25" t="str">
            <v>Соответствует</v>
          </cell>
          <cell r="T25">
            <v>1631598</v>
          </cell>
          <cell r="U25">
            <v>1489.9077709798194</v>
          </cell>
          <cell r="V25">
            <v>1.1479019838811315</v>
          </cell>
          <cell r="W25" t="str">
            <v>Соответствует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e">
            <v>#VALUE!</v>
          </cell>
          <cell r="AC25" t="str">
            <v>Не рассчитывалась</v>
          </cell>
          <cell r="AD25" t="str">
            <v>Не рассчитывалась</v>
          </cell>
          <cell r="AE25" t="str">
            <v>Не рассчитывалась</v>
          </cell>
          <cell r="AF25" t="e">
            <v>#VALUE!</v>
          </cell>
          <cell r="AG25">
            <v>1095.0999999999999</v>
          </cell>
          <cell r="AH25">
            <v>0</v>
          </cell>
          <cell r="AI25">
            <v>0</v>
          </cell>
          <cell r="AJ25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5">
            <v>1631598</v>
          </cell>
          <cell r="AM25" t="str">
            <v>По сроку службы</v>
          </cell>
        </row>
        <row r="26">
          <cell r="A26">
            <v>36</v>
          </cell>
          <cell r="B26" t="str">
            <v>Ц00001309</v>
          </cell>
          <cell r="C26" t="str">
            <v xml:space="preserve">Здание нежилое Об.пл. 2216,9 кв.м. Литер В Кад№ 23:11:0607000:336 (Коровник №2)  (КС  МТФ№1) </v>
          </cell>
          <cell r="D26">
            <v>41898</v>
          </cell>
          <cell r="E26">
            <v>41898</v>
          </cell>
          <cell r="F26">
            <v>1144606.78</v>
          </cell>
          <cell r="G26">
            <v>0.98151841510437443</v>
          </cell>
          <cell r="H26">
            <v>1123452.6326233214</v>
          </cell>
          <cell r="I26">
            <v>1.2904109589041095</v>
          </cell>
          <cell r="J26" t="str">
            <v>ж/б панели</v>
          </cell>
          <cell r="K26">
            <v>0</v>
          </cell>
          <cell r="L26">
            <v>50</v>
          </cell>
          <cell r="M26">
            <v>2.5808219178082192E-2</v>
          </cell>
          <cell r="N26">
            <v>0</v>
          </cell>
          <cell r="O26">
            <v>0</v>
          </cell>
          <cell r="P26">
            <v>2.5808219178082181E-2</v>
          </cell>
          <cell r="Q26">
            <v>1049749.93</v>
          </cell>
          <cell r="R26">
            <v>473.5215526185213</v>
          </cell>
          <cell r="S26" t="str">
            <v>Соответствует</v>
          </cell>
          <cell r="T26">
            <v>1094458</v>
          </cell>
          <cell r="U26">
            <v>493.68848391898592</v>
          </cell>
          <cell r="V26">
            <v>1.0425892574243849</v>
          </cell>
          <cell r="W26" t="str">
            <v>Соответствует</v>
          </cell>
          <cell r="X26" t="str">
            <v>хорошее</v>
          </cell>
          <cell r="Y26">
            <v>0.2</v>
          </cell>
          <cell r="Z26">
            <v>898762.10609865712</v>
          </cell>
          <cell r="AA26">
            <v>405.41391406858997</v>
          </cell>
          <cell r="AB26">
            <v>0.85616781712827283</v>
          </cell>
          <cell r="AC26" t="str">
            <v>Соответствует</v>
          </cell>
          <cell r="AD26" t="str">
            <v>Не рассчитывалась</v>
          </cell>
          <cell r="AE26" t="str">
            <v>Не рассчитывалась</v>
          </cell>
          <cell r="AF26" t="e">
            <v>#VALUE!</v>
          </cell>
          <cell r="AG26">
            <v>2216.9</v>
          </cell>
          <cell r="AH26">
            <v>0</v>
          </cell>
          <cell r="AI26" t="str">
            <v>Уточнить состояние по фото</v>
          </cell>
          <cell r="AJ26" t="str">
            <v>Чем обусловлена столь низкая балансовая стоимость 1 144 тыс. руб. за кирпичный объект площадью 2216 кв. м?</v>
          </cell>
          <cell r="AK26">
            <v>1</v>
          </cell>
          <cell r="AL26">
            <v>1094458</v>
          </cell>
          <cell r="AM26" t="str">
            <v>По сроку службы</v>
          </cell>
        </row>
        <row r="27">
          <cell r="A27">
            <v>37</v>
          </cell>
          <cell r="B27" t="str">
            <v>Ц00001312</v>
          </cell>
          <cell r="C27" t="str">
            <v>Здание нежилое Об.пл. 2339,8 кв.м.  Литер Д Кад№ 23:11:0902000:337 (Коровник №3)  (КС  МТФ№1)</v>
          </cell>
          <cell r="D27">
            <v>41898</v>
          </cell>
          <cell r="E27">
            <v>41898</v>
          </cell>
          <cell r="F27">
            <v>2498541.6</v>
          </cell>
          <cell r="G27">
            <v>0.98151841510437443</v>
          </cell>
          <cell r="H27">
            <v>2452364.5913043479</v>
          </cell>
          <cell r="I27">
            <v>1.2904109589041095</v>
          </cell>
          <cell r="J27" t="str">
            <v>кирпичные</v>
          </cell>
          <cell r="K27">
            <v>0</v>
          </cell>
          <cell r="L27">
            <v>60</v>
          </cell>
          <cell r="M27">
            <v>2.150684931506849E-2</v>
          </cell>
          <cell r="N27">
            <v>0</v>
          </cell>
          <cell r="O27">
            <v>0</v>
          </cell>
          <cell r="P27">
            <v>2.1506849315068521E-2</v>
          </cell>
          <cell r="Q27">
            <v>2291480.1</v>
          </cell>
          <cell r="R27">
            <v>979.34870501752278</v>
          </cell>
          <cell r="S27" t="str">
            <v>Соответствует</v>
          </cell>
          <cell r="T27">
            <v>2399622</v>
          </cell>
          <cell r="U27">
            <v>1025.5671424908112</v>
          </cell>
          <cell r="V27">
            <v>1.0471930347551348</v>
          </cell>
          <cell r="W27" t="str">
            <v>Соответствует</v>
          </cell>
          <cell r="X27" t="str">
            <v>хорошее</v>
          </cell>
          <cell r="Y27">
            <v>0.3</v>
          </cell>
          <cell r="Z27">
            <v>1716655.2139130435</v>
          </cell>
          <cell r="AA27">
            <v>733.67604663349152</v>
          </cell>
          <cell r="AB27">
            <v>0.74914690025588415</v>
          </cell>
          <cell r="AC27" t="str">
            <v>Соответствует</v>
          </cell>
          <cell r="AD27" t="str">
            <v>Не рассчитывалась</v>
          </cell>
          <cell r="AE27" t="str">
            <v>Не рассчитывалась</v>
          </cell>
          <cell r="AF27" t="e">
            <v>#VALUE!</v>
          </cell>
          <cell r="AG27">
            <v>2339.8000000000002</v>
          </cell>
          <cell r="AH27">
            <v>0</v>
          </cell>
          <cell r="AI27">
            <v>0</v>
          </cell>
          <cell r="AJ27" t="str">
            <v>Чем обусловлена столь низкая балансовая стоимость 2 498 тыс. руб. за кирпичный объект площадью 2340 кв. м?</v>
          </cell>
          <cell r="AK27">
            <v>1</v>
          </cell>
          <cell r="AL27">
            <v>2399622</v>
          </cell>
          <cell r="AM27" t="str">
            <v>По сроку службы</v>
          </cell>
        </row>
        <row r="28">
          <cell r="A28">
            <v>38</v>
          </cell>
          <cell r="B28" t="str">
            <v>Ц00001315</v>
          </cell>
          <cell r="C28" t="str">
            <v>Здание нежилое Об.пл. 2360,3 кв.м. Литер Е Кад№ 23:11:0902000:295  (Коровник №4)  (КС  МТФ№1)</v>
          </cell>
          <cell r="D28">
            <v>41898</v>
          </cell>
          <cell r="E28">
            <v>41898</v>
          </cell>
          <cell r="F28">
            <v>841983.9</v>
          </cell>
          <cell r="G28">
            <v>0.98151841510437443</v>
          </cell>
          <cell r="H28">
            <v>826422.70307140006</v>
          </cell>
          <cell r="I28">
            <v>1.2904109589041095</v>
          </cell>
          <cell r="J28" t="str">
            <v>кирпичные</v>
          </cell>
          <cell r="K28">
            <v>0</v>
          </cell>
          <cell r="L28">
            <v>60</v>
          </cell>
          <cell r="M28">
            <v>2.150684931506849E-2</v>
          </cell>
          <cell r="N28">
            <v>0</v>
          </cell>
          <cell r="O28">
            <v>0</v>
          </cell>
          <cell r="P28">
            <v>2.1506849315068521E-2</v>
          </cell>
          <cell r="Q28">
            <v>772206.3</v>
          </cell>
          <cell r="R28">
            <v>327.16447061814176</v>
          </cell>
          <cell r="S28" t="str">
            <v>Соответствует</v>
          </cell>
          <cell r="T28">
            <v>808649</v>
          </cell>
          <cell r="U28">
            <v>342.60432995805616</v>
          </cell>
          <cell r="V28">
            <v>1.0471929586692053</v>
          </cell>
          <cell r="W28" t="str">
            <v>Соответствует</v>
          </cell>
          <cell r="X28" t="str">
            <v>хорошее</v>
          </cell>
          <cell r="Y28">
            <v>0.3</v>
          </cell>
          <cell r="Z28">
            <v>578495.89214997995</v>
          </cell>
          <cell r="AA28">
            <v>245.09422198448499</v>
          </cell>
          <cell r="AB28">
            <v>0.74914681756673041</v>
          </cell>
          <cell r="AC28" t="str">
            <v>Соответствует</v>
          </cell>
          <cell r="AD28" t="str">
            <v>Не рассчитывалась</v>
          </cell>
          <cell r="AE28" t="str">
            <v>Не рассчитывалась</v>
          </cell>
          <cell r="AF28" t="e">
            <v>#VALUE!</v>
          </cell>
          <cell r="AG28">
            <v>2360.3000000000002</v>
          </cell>
          <cell r="AH28">
            <v>0</v>
          </cell>
          <cell r="AI28" t="str">
            <v>Уточнить состояние по фото</v>
          </cell>
          <cell r="AJ28" t="str">
            <v>Чем обусловлена столь низкая балансовая стоимость 841 тыс. руб. за кирпичный объект площадью 2360 кв. м?</v>
          </cell>
          <cell r="AK28">
            <v>1</v>
          </cell>
          <cell r="AL28">
            <v>808649</v>
          </cell>
          <cell r="AM28" t="str">
            <v>По сроку службы</v>
          </cell>
        </row>
        <row r="29">
          <cell r="A29">
            <v>39</v>
          </cell>
          <cell r="B29" t="str">
            <v>Ц00001316</v>
          </cell>
          <cell r="C29" t="str">
            <v>Здание нежилое Об.пл.1163,4кв.м. ЛитерШ Кад№ 23:11:0902000:280 (Пристройка №1 к коров №4)(КС  МТФ№1)</v>
          </cell>
          <cell r="D29">
            <v>41898</v>
          </cell>
          <cell r="E29">
            <v>41898</v>
          </cell>
          <cell r="F29">
            <v>2447034.2400000002</v>
          </cell>
          <cell r="G29">
            <v>0.98151841510437443</v>
          </cell>
          <cell r="H29">
            <v>2401809.1689509377</v>
          </cell>
          <cell r="I29">
            <v>1.2904109589041095</v>
          </cell>
          <cell r="J29" t="str">
            <v>металлические</v>
          </cell>
          <cell r="K29">
            <v>0</v>
          </cell>
          <cell r="L29">
            <v>35</v>
          </cell>
          <cell r="M29">
            <v>3.6868884540117414E-2</v>
          </cell>
          <cell r="N29">
            <v>0</v>
          </cell>
          <cell r="O29">
            <v>0</v>
          </cell>
          <cell r="P29">
            <v>3.6868884540117386E-2</v>
          </cell>
          <cell r="Q29">
            <v>2325089.04</v>
          </cell>
          <cell r="R29">
            <v>1998.5293450232077</v>
          </cell>
          <cell r="S29" t="str">
            <v>Соответствует</v>
          </cell>
          <cell r="T29">
            <v>2313257</v>
          </cell>
          <cell r="U29">
            <v>1988.3591198212134</v>
          </cell>
          <cell r="V29">
            <v>0.994911145424349</v>
          </cell>
          <cell r="W29" t="str">
            <v>Соответствует</v>
          </cell>
          <cell r="X29" t="str">
            <v>отличное</v>
          </cell>
          <cell r="Y29">
            <v>0.1</v>
          </cell>
          <cell r="Z29">
            <v>2161628.2520558438</v>
          </cell>
          <cell r="AA29">
            <v>1858.0266907820558</v>
          </cell>
          <cell r="AB29">
            <v>0.92969697713419341</v>
          </cell>
          <cell r="AC29" t="str">
            <v>Соответствует</v>
          </cell>
          <cell r="AD29" t="str">
            <v>Не рассчитывалась</v>
          </cell>
          <cell r="AE29" t="str">
            <v>Не рассчитывалась</v>
          </cell>
          <cell r="AF29" t="e">
            <v>#VALUE!</v>
          </cell>
          <cell r="AG29">
            <v>1163.4000000000001</v>
          </cell>
          <cell r="AH29">
            <v>0</v>
          </cell>
          <cell r="AI29">
            <v>0</v>
          </cell>
          <cell r="AJ29" t="str">
            <v>Чем обусловлена разница в 2-3 раза в балансовой стоимости объектов инв. №Ц00001316, Ц00001316 и Ц00001308, Ц00001314?</v>
          </cell>
          <cell r="AK29">
            <v>1</v>
          </cell>
          <cell r="AL29">
            <v>2313257</v>
          </cell>
          <cell r="AM29" t="str">
            <v>По сроку службы</v>
          </cell>
        </row>
        <row r="30">
          <cell r="A30">
            <v>41</v>
          </cell>
          <cell r="B30" t="str">
            <v>Ц00001308</v>
          </cell>
          <cell r="C30" t="str">
            <v>Здание нежилое Об.пл.797,4 кв.м. ЛитерУ Кад№ 23:11:0902000:284 (Пристройка №2 к коров №1)(КС  МТФ№1)</v>
          </cell>
          <cell r="D30">
            <v>41898</v>
          </cell>
          <cell r="E30">
            <v>41898</v>
          </cell>
          <cell r="F30">
            <v>847457.64</v>
          </cell>
          <cell r="G30">
            <v>0.98151841510437443</v>
          </cell>
          <cell r="H30">
            <v>831795.27968089352</v>
          </cell>
          <cell r="I30">
            <v>1.2904109589041095</v>
          </cell>
          <cell r="J30" t="str">
            <v>металлические</v>
          </cell>
          <cell r="K30">
            <v>0</v>
          </cell>
          <cell r="L30">
            <v>35</v>
          </cell>
          <cell r="M30">
            <v>3.6868884540117414E-2</v>
          </cell>
          <cell r="N30">
            <v>0</v>
          </cell>
          <cell r="O30">
            <v>0</v>
          </cell>
          <cell r="P30">
            <v>3.6868884540117386E-2</v>
          </cell>
          <cell r="Q30">
            <v>805225.59</v>
          </cell>
          <cell r="R30">
            <v>1009.8138826185101</v>
          </cell>
          <cell r="S30" t="str">
            <v>Соответствует</v>
          </cell>
          <cell r="T30">
            <v>801128</v>
          </cell>
          <cell r="U30">
            <v>1004.6751943817407</v>
          </cell>
          <cell r="V30">
            <v>0.99491125213742904</v>
          </cell>
          <cell r="W30" t="str">
            <v>Соответствует</v>
          </cell>
          <cell r="X30" t="str">
            <v>отличное</v>
          </cell>
          <cell r="Y30">
            <v>0.1</v>
          </cell>
          <cell r="Z30">
            <v>748615.75171280419</v>
          </cell>
          <cell r="AA30">
            <v>938.82085742764514</v>
          </cell>
          <cell r="AB30">
            <v>0.92969692097441192</v>
          </cell>
          <cell r="AC30" t="str">
            <v>Соответствует</v>
          </cell>
          <cell r="AD30" t="str">
            <v>Не рассчитывалась</v>
          </cell>
          <cell r="AE30" t="str">
            <v>Не рассчитывалась</v>
          </cell>
          <cell r="AF30" t="e">
            <v>#VALUE!</v>
          </cell>
          <cell r="AG30">
            <v>797.4</v>
          </cell>
          <cell r="AH30">
            <v>0</v>
          </cell>
          <cell r="AI30">
            <v>0</v>
          </cell>
          <cell r="AJ30" t="str">
            <v>Чем обусловлена разница в 2-3 раза в балансовой стоимости объектов инв. №Ц00001316, Ц00001316 и Ц00001308, Ц00001314?</v>
          </cell>
          <cell r="AK30">
            <v>1</v>
          </cell>
          <cell r="AL30">
            <v>801128</v>
          </cell>
          <cell r="AM30" t="str">
            <v>По сроку службы</v>
          </cell>
        </row>
        <row r="31">
          <cell r="A31">
            <v>45</v>
          </cell>
          <cell r="B31" t="str">
            <v>Ц00001314</v>
          </cell>
          <cell r="C31" t="str">
            <v>Здание нежилое Об.пл.867,7кв.м. ЛитерЦ Кад№ 23:11:0902000:282 (Пристройка №2 к коров №3) (КС  МТФ№1)</v>
          </cell>
          <cell r="D31">
            <v>41898</v>
          </cell>
          <cell r="E31">
            <v>41898</v>
          </cell>
          <cell r="F31">
            <v>707606.78</v>
          </cell>
          <cell r="G31">
            <v>0.98151841510437443</v>
          </cell>
          <cell r="H31">
            <v>694529.08522270981</v>
          </cell>
          <cell r="I31">
            <v>1.2904109589041095</v>
          </cell>
          <cell r="J31" t="str">
            <v>металлические</v>
          </cell>
          <cell r="K31">
            <v>0</v>
          </cell>
          <cell r="L31">
            <v>35</v>
          </cell>
          <cell r="M31">
            <v>3.6868884540117414E-2</v>
          </cell>
          <cell r="N31">
            <v>0</v>
          </cell>
          <cell r="O31">
            <v>0</v>
          </cell>
          <cell r="P31">
            <v>3.6868884540117386E-2</v>
          </cell>
          <cell r="Q31">
            <v>672344.03</v>
          </cell>
          <cell r="R31">
            <v>774.85770427567127</v>
          </cell>
          <cell r="S31" t="str">
            <v>Соответствует</v>
          </cell>
          <cell r="T31">
            <v>668923</v>
          </cell>
          <cell r="U31">
            <v>770.91506280972681</v>
          </cell>
          <cell r="V31">
            <v>0.99491178645551437</v>
          </cell>
          <cell r="W31" t="str">
            <v>Соответствует</v>
          </cell>
          <cell r="X31" t="str">
            <v>отличное</v>
          </cell>
          <cell r="Y31">
            <v>0.1</v>
          </cell>
          <cell r="Z31">
            <v>625076.17670043884</v>
          </cell>
          <cell r="AA31">
            <v>720.38282436376494</v>
          </cell>
          <cell r="AB31">
            <v>0.92969692420774352</v>
          </cell>
          <cell r="AC31" t="str">
            <v>Соответствует</v>
          </cell>
          <cell r="AD31" t="str">
            <v>Не рассчитывалась</v>
          </cell>
          <cell r="AE31" t="str">
            <v>Не рассчитывалась</v>
          </cell>
          <cell r="AF31" t="e">
            <v>#VALUE!</v>
          </cell>
          <cell r="AG31">
            <v>867.7</v>
          </cell>
          <cell r="AH31">
            <v>0</v>
          </cell>
          <cell r="AI31" t="str">
            <v>Уточнить состояние по фото</v>
          </cell>
          <cell r="AJ31" t="str">
            <v>Чем обусловлена разница в 2-3 раза в балансовой стоимости объектов инв. №Ц00001316, Ц00001316 и Ц00001308, Ц00001314?</v>
          </cell>
          <cell r="AK31">
            <v>1</v>
          </cell>
          <cell r="AL31">
            <v>668923</v>
          </cell>
          <cell r="AM31" t="str">
            <v>По сроку службы</v>
          </cell>
        </row>
        <row r="32">
          <cell r="A32">
            <v>46</v>
          </cell>
          <cell r="B32" t="str">
            <v>Ц00001317</v>
          </cell>
          <cell r="C32" t="str">
            <v>Здание нежилое Об.пл.975,7кв.м. ЛитерЧ Кад№ 23:11:0902000:283 (Пристройка №2 к коров №4) (КС  МТФ№1)</v>
          </cell>
          <cell r="D32">
            <v>41898</v>
          </cell>
          <cell r="E32">
            <v>41898</v>
          </cell>
          <cell r="F32">
            <v>2447034.25</v>
          </cell>
          <cell r="G32">
            <v>0.98151841510437443</v>
          </cell>
          <cell r="H32">
            <v>2401809.1787661216</v>
          </cell>
          <cell r="I32">
            <v>1.2904109589041095</v>
          </cell>
          <cell r="J32" t="str">
            <v>металлические</v>
          </cell>
          <cell r="K32">
            <v>0</v>
          </cell>
          <cell r="L32">
            <v>35</v>
          </cell>
          <cell r="M32">
            <v>3.6868884540117414E-2</v>
          </cell>
          <cell r="N32">
            <v>0</v>
          </cell>
          <cell r="O32">
            <v>0</v>
          </cell>
          <cell r="P32">
            <v>3.6868884540117386E-2</v>
          </cell>
          <cell r="Q32">
            <v>2325089.0499999998</v>
          </cell>
          <cell r="R32">
            <v>2382.9958491339548</v>
          </cell>
          <cell r="S32" t="str">
            <v>Соответствует</v>
          </cell>
          <cell r="T32">
            <v>2313257</v>
          </cell>
          <cell r="U32">
            <v>2370.8691196064365</v>
          </cell>
          <cell r="V32">
            <v>0.9949111411453252</v>
          </cell>
          <cell r="W32" t="str">
            <v>Соответствует</v>
          </cell>
          <cell r="X32" t="str">
            <v>отличное</v>
          </cell>
          <cell r="Y32">
            <v>0.1</v>
          </cell>
          <cell r="Z32">
            <v>2161628.2608895097</v>
          </cell>
          <cell r="AA32">
            <v>2215.4640369883259</v>
          </cell>
          <cell r="AB32">
            <v>0.9296969769349307</v>
          </cell>
          <cell r="AC32" t="str">
            <v>Соответствует</v>
          </cell>
          <cell r="AD32" t="str">
            <v>Не рассчитывалась</v>
          </cell>
          <cell r="AE32" t="str">
            <v>Не рассчитывалась</v>
          </cell>
          <cell r="AF32" t="e">
            <v>#VALUE!</v>
          </cell>
          <cell r="AG32">
            <v>975.7</v>
          </cell>
          <cell r="AH32">
            <v>0</v>
          </cell>
          <cell r="AI32">
            <v>0</v>
          </cell>
          <cell r="AJ32" t="str">
            <v>Чем обусловлена разница в 2-3 раза в балансовой стоимости объектов инв. №Ц00001316, Ц00001316 и Ц00001308, Ц00001314?</v>
          </cell>
          <cell r="AK32">
            <v>1</v>
          </cell>
          <cell r="AL32">
            <v>2313257</v>
          </cell>
          <cell r="AM32" t="str">
            <v>По сроку службы</v>
          </cell>
        </row>
        <row r="33">
          <cell r="A33">
            <v>47</v>
          </cell>
          <cell r="B33" t="str">
            <v>Ц00002239</v>
          </cell>
          <cell r="C33" t="str">
            <v>Здание овощехранилища Об.пл.1040,2кв.м. Литер Д Кад№ 23:24:0701000:725   (НП  МТФ№3)</v>
          </cell>
          <cell r="D33">
            <v>41934</v>
          </cell>
          <cell r="E33">
            <v>41898</v>
          </cell>
          <cell r="F33">
            <v>380699.07</v>
          </cell>
          <cell r="G33">
            <v>0.98663458968190321</v>
          </cell>
          <cell r="H33">
            <v>375610.87072173215</v>
          </cell>
          <cell r="I33">
            <v>1.2904109589041095</v>
          </cell>
          <cell r="J33" t="str">
            <v>кирпичные</v>
          </cell>
          <cell r="K33">
            <v>0</v>
          </cell>
          <cell r="L33">
            <v>60</v>
          </cell>
          <cell r="M33">
            <v>2.150684931506849E-2</v>
          </cell>
          <cell r="N33">
            <v>0</v>
          </cell>
          <cell r="O33">
            <v>0</v>
          </cell>
          <cell r="P33">
            <v>2.1506849315068521E-2</v>
          </cell>
          <cell r="Q33">
            <v>236650.83000000002</v>
          </cell>
          <cell r="R33">
            <v>227.50512401461259</v>
          </cell>
          <cell r="S33" t="str">
            <v>Не соответствует</v>
          </cell>
          <cell r="T33">
            <v>367533</v>
          </cell>
          <cell r="U33">
            <v>353.32916746779466</v>
          </cell>
          <cell r="V33">
            <v>1.5530602618211817</v>
          </cell>
          <cell r="W33" t="str">
            <v>Не соответствует</v>
          </cell>
          <cell r="X33" t="str">
            <v>неудовлетворительное</v>
          </cell>
          <cell r="Y33">
            <v>0.65</v>
          </cell>
          <cell r="Z33">
            <v>131463.80475260626</v>
          </cell>
          <cell r="AA33">
            <v>126.38320010825443</v>
          </cell>
          <cell r="AB33">
            <v>0.55551803791521137</v>
          </cell>
          <cell r="AC33" t="str">
            <v>Соответствует</v>
          </cell>
          <cell r="AD33" t="str">
            <v>Не рассчитывалась</v>
          </cell>
          <cell r="AE33" t="str">
            <v>Не рассчитывалась</v>
          </cell>
          <cell r="AF33" t="e">
            <v>#VALUE!</v>
          </cell>
          <cell r="AG33">
            <v>1040.2</v>
          </cell>
          <cell r="AH33">
            <v>0</v>
          </cell>
          <cell r="AI33" t="str">
            <v>Уточнить состояние по фото</v>
          </cell>
          <cell r="AL33">
            <v>131463.80475260626</v>
          </cell>
          <cell r="AM33" t="str">
            <v>Экспертно</v>
          </cell>
        </row>
        <row r="34">
          <cell r="A34">
            <v>48</v>
          </cell>
          <cell r="B34" t="str">
            <v>Ц00001725</v>
          </cell>
          <cell r="C34" t="str">
            <v>Здание склада  Об.пл 2454,3 кв.м. Литер А Кад № 23:11:0902000:254 (КС  МТФ№1мельница)</v>
          </cell>
          <cell r="D34">
            <v>41929</v>
          </cell>
          <cell r="E34">
            <v>41929</v>
          </cell>
          <cell r="F34">
            <v>11290.75</v>
          </cell>
          <cell r="G34">
            <v>0.98663458968190321</v>
          </cell>
          <cell r="H34">
            <v>11139.844493450948</v>
          </cell>
          <cell r="I34">
            <v>1.2054794520547945</v>
          </cell>
          <cell r="J34" t="str">
            <v>шлакоблоки</v>
          </cell>
          <cell r="K34">
            <v>0</v>
          </cell>
          <cell r="L34">
            <v>60</v>
          </cell>
          <cell r="M34">
            <v>2.0091324200913242E-2</v>
          </cell>
          <cell r="N34">
            <v>0</v>
          </cell>
          <cell r="O34">
            <v>0</v>
          </cell>
          <cell r="P34">
            <v>2.0091324200913196E-2</v>
          </cell>
          <cell r="Q34">
            <v>9984.41</v>
          </cell>
          <cell r="R34">
            <v>4.0681294055331456</v>
          </cell>
          <cell r="S34" t="str">
            <v>Соответствует</v>
          </cell>
          <cell r="T34">
            <v>10916</v>
          </cell>
          <cell r="U34">
            <v>4.4477040296622254</v>
          </cell>
          <cell r="V34">
            <v>1.0933044616557213</v>
          </cell>
          <cell r="W34" t="str">
            <v>Соответствует</v>
          </cell>
          <cell r="X34" t="str">
            <v>удовлетворительное</v>
          </cell>
          <cell r="Y34">
            <v>0.4</v>
          </cell>
          <cell r="Z34">
            <v>6683.9066960705686</v>
          </cell>
          <cell r="AA34">
            <v>2.7233454329424145</v>
          </cell>
          <cell r="AB34">
            <v>0.66943431770836426</v>
          </cell>
          <cell r="AC34" t="str">
            <v>Соответствует</v>
          </cell>
          <cell r="AD34" t="str">
            <v>Не рассчитывалась</v>
          </cell>
          <cell r="AE34" t="str">
            <v>Не рассчитывалась</v>
          </cell>
          <cell r="AF34" t="e">
            <v>#VALUE!</v>
          </cell>
          <cell r="AG34">
            <v>2454.3000000000002</v>
          </cell>
          <cell r="AH34">
            <v>0</v>
          </cell>
          <cell r="AI34" t="str">
            <v>Уточнить состояние по фото</v>
          </cell>
          <cell r="AJ34" t="str">
            <v>Чем обусловлена столь низкая балансовая стоимость 11 тыс. руб. за блочный объект площадью 2454 кв. м?</v>
          </cell>
          <cell r="AK34">
            <v>1</v>
          </cell>
          <cell r="AL34">
            <v>10916</v>
          </cell>
          <cell r="AM34" t="str">
            <v>По сроку службы</v>
          </cell>
        </row>
        <row r="35">
          <cell r="A35">
            <v>49</v>
          </cell>
          <cell r="B35" t="str">
            <v>Ц00002242</v>
          </cell>
          <cell r="C35" t="str">
            <v>Здание склада для кормов Об.пл. 24,5кв.м. Литер Х Кад№ 23:24:0701000:726  (НП  МТФ№3)</v>
          </cell>
          <cell r="D35">
            <v>41934</v>
          </cell>
          <cell r="E35">
            <v>41934</v>
          </cell>
          <cell r="F35">
            <v>7101.68</v>
          </cell>
          <cell r="G35">
            <v>0.98663458968190321</v>
          </cell>
          <cell r="H35">
            <v>7006.7631328521784</v>
          </cell>
          <cell r="I35">
            <v>1.1917808219178083</v>
          </cell>
          <cell r="J35" t="str">
            <v>кирпичные</v>
          </cell>
          <cell r="K35">
            <v>0</v>
          </cell>
          <cell r="L35">
            <v>60</v>
          </cell>
          <cell r="M35">
            <v>1.9863013698630139E-2</v>
          </cell>
          <cell r="N35">
            <v>0</v>
          </cell>
          <cell r="O35">
            <v>0</v>
          </cell>
          <cell r="P35">
            <v>1.9863013698630194E-2</v>
          </cell>
          <cell r="Q35">
            <v>6552.3200000000006</v>
          </cell>
          <cell r="R35">
            <v>267.44163265306128</v>
          </cell>
          <cell r="S35" t="str">
            <v>Не соответствует</v>
          </cell>
          <cell r="T35">
            <v>6868</v>
          </cell>
          <cell r="U35">
            <v>280.32653061224488</v>
          </cell>
          <cell r="V35">
            <v>1.0481783551474897</v>
          </cell>
          <cell r="W35" t="str">
            <v>Не соответствует</v>
          </cell>
          <cell r="X35" t="str">
            <v>удовлетворительное</v>
          </cell>
          <cell r="Y35">
            <v>0.5</v>
          </cell>
          <cell r="Z35">
            <v>3503.3815664260892</v>
          </cell>
          <cell r="AA35">
            <v>142.99516597657507</v>
          </cell>
          <cell r="AB35">
            <v>0.53467803257870328</v>
          </cell>
          <cell r="AC35" t="str">
            <v>Соответствует</v>
          </cell>
          <cell r="AD35" t="str">
            <v>Не рассчитывалась</v>
          </cell>
          <cell r="AE35" t="str">
            <v>Не рассчитывалась</v>
          </cell>
          <cell r="AF35" t="e">
            <v>#VALUE!</v>
          </cell>
          <cell r="AG35">
            <v>24.5</v>
          </cell>
          <cell r="AH35">
            <v>0</v>
          </cell>
          <cell r="AI35" t="str">
            <v>Уточнить состояние по фото</v>
          </cell>
          <cell r="AL35">
            <v>3503.3815664260892</v>
          </cell>
          <cell r="AM35" t="str">
            <v>Экспертно</v>
          </cell>
        </row>
        <row r="36">
          <cell r="A36">
            <v>50</v>
          </cell>
          <cell r="B36" t="str">
            <v>Ц00002241</v>
          </cell>
          <cell r="C36" t="str">
            <v>Здание щитовой Об.пл. 3,2кв.м. Литер Г6 Кад№ 23:24:0701000:684  (НП  МТФ№3)</v>
          </cell>
          <cell r="D36">
            <v>41934</v>
          </cell>
          <cell r="E36">
            <v>41934</v>
          </cell>
          <cell r="F36">
            <v>507.58</v>
          </cell>
          <cell r="G36">
            <v>0.98663458968190321</v>
          </cell>
          <cell r="H36">
            <v>500.79598503074044</v>
          </cell>
          <cell r="I36">
            <v>1.1917808219178083</v>
          </cell>
          <cell r="J36" t="str">
            <v>кирпичные</v>
          </cell>
          <cell r="K36">
            <v>0</v>
          </cell>
          <cell r="L36">
            <v>60</v>
          </cell>
          <cell r="M36">
            <v>1.9863013698630139E-2</v>
          </cell>
          <cell r="N36">
            <v>0</v>
          </cell>
          <cell r="O36">
            <v>0</v>
          </cell>
          <cell r="P36">
            <v>1.9863013698630194E-2</v>
          </cell>
          <cell r="Q36">
            <v>0</v>
          </cell>
          <cell r="R36">
            <v>0</v>
          </cell>
          <cell r="S36" t="str">
            <v>Не соответствует</v>
          </cell>
          <cell r="T36">
            <v>491</v>
          </cell>
          <cell r="U36">
            <v>153.4375</v>
          </cell>
          <cell r="V36" t="e">
            <v>#DIV/0!</v>
          </cell>
          <cell r="W36" t="str">
            <v>Соответствует</v>
          </cell>
          <cell r="X36" t="str">
            <v>удовлетворительное</v>
          </cell>
          <cell r="Y36">
            <v>0.4</v>
          </cell>
          <cell r="Z36">
            <v>300.47759101844423</v>
          </cell>
          <cell r="AA36">
            <v>93.899247193263818</v>
          </cell>
          <cell r="AB36" t="e">
            <v>#DIV/0!</v>
          </cell>
          <cell r="AC36" t="str">
            <v>Соответствует</v>
          </cell>
          <cell r="AD36" t="str">
            <v>Не рассчитывалась</v>
          </cell>
          <cell r="AE36" t="str">
            <v>Не рассчитывалась</v>
          </cell>
          <cell r="AF36" t="e">
            <v>#VALUE!</v>
          </cell>
          <cell r="AG36">
            <v>3.2</v>
          </cell>
          <cell r="AH36" t="str">
            <v>будет использоваться</v>
          </cell>
          <cell r="AI36" t="str">
            <v>Уточнить состояние по фото</v>
          </cell>
          <cell r="AL36">
            <v>300.47759101844423</v>
          </cell>
          <cell r="AM36" t="str">
            <v>Экспертно</v>
          </cell>
        </row>
        <row r="37">
          <cell r="A37">
            <v>51</v>
          </cell>
          <cell r="B37" t="str">
            <v>Ц00002246</v>
          </cell>
          <cell r="C37" t="str">
            <v>Здание щитовой Об.пл. 3,2кв.м. Литер Г7 Кад№ 23:24:0701000:714  (НП  МТФ№3)</v>
          </cell>
          <cell r="D37">
            <v>41934</v>
          </cell>
          <cell r="E37">
            <v>41934</v>
          </cell>
          <cell r="F37">
            <v>1142.0899999999999</v>
          </cell>
          <cell r="G37">
            <v>0.98663458968190321</v>
          </cell>
          <cell r="H37">
            <v>1126.8254985298047</v>
          </cell>
          <cell r="I37">
            <v>1.1917808219178083</v>
          </cell>
          <cell r="J37" t="str">
            <v>кирпичные</v>
          </cell>
          <cell r="K37">
            <v>0</v>
          </cell>
          <cell r="L37">
            <v>60</v>
          </cell>
          <cell r="M37">
            <v>1.9863013698630139E-2</v>
          </cell>
          <cell r="N37">
            <v>0</v>
          </cell>
          <cell r="O37">
            <v>0</v>
          </cell>
          <cell r="P37">
            <v>1.9863013698630194E-2</v>
          </cell>
          <cell r="Q37">
            <v>1097.8499999999999</v>
          </cell>
          <cell r="R37">
            <v>343.07812499999994</v>
          </cell>
          <cell r="S37" t="str">
            <v>Соответствует</v>
          </cell>
          <cell r="T37">
            <v>1104</v>
          </cell>
          <cell r="U37">
            <v>345</v>
          </cell>
          <cell r="V37">
            <v>1.0056018581773467</v>
          </cell>
          <cell r="W37" t="str">
            <v>Соответствует</v>
          </cell>
          <cell r="X37" t="str">
            <v>удовлетворительное</v>
          </cell>
          <cell r="Y37">
            <v>0.5</v>
          </cell>
          <cell r="Z37">
            <v>563.41274926490235</v>
          </cell>
          <cell r="AA37">
            <v>176.06648414528198</v>
          </cell>
          <cell r="AB37">
            <v>0.51319647425868964</v>
          </cell>
          <cell r="AC37" t="str">
            <v>Не соответствует</v>
          </cell>
          <cell r="AD37" t="str">
            <v>Не рассчитывалась</v>
          </cell>
          <cell r="AE37" t="str">
            <v>Не рассчитывалась</v>
          </cell>
          <cell r="AF37" t="e">
            <v>#VALUE!</v>
          </cell>
          <cell r="AG37">
            <v>3.2</v>
          </cell>
          <cell r="AH37">
            <v>0</v>
          </cell>
          <cell r="AI37" t="str">
            <v>Уточнить состояние по фото</v>
          </cell>
          <cell r="AL37">
            <v>1104</v>
          </cell>
          <cell r="AM37" t="str">
            <v>По сроку службы</v>
          </cell>
        </row>
        <row r="38">
          <cell r="A38">
            <v>52</v>
          </cell>
          <cell r="B38" t="str">
            <v>Ц00002240</v>
          </cell>
          <cell r="C38" t="str">
            <v>Здание щитовой Об.пл. 68,7кв.м. Литер П,П1 Кад№ 23:24:0701000:731  (НП  МТФ№3)</v>
          </cell>
          <cell r="D38">
            <v>41934</v>
          </cell>
          <cell r="E38">
            <v>41934</v>
          </cell>
          <cell r="F38">
            <v>2334.81</v>
          </cell>
          <cell r="G38">
            <v>0.98663458968190321</v>
          </cell>
          <cell r="H38">
            <v>2303.6043063352045</v>
          </cell>
          <cell r="I38">
            <v>1.1917808219178083</v>
          </cell>
          <cell r="J38" t="str">
            <v>кирпичные</v>
          </cell>
          <cell r="K38">
            <v>0</v>
          </cell>
          <cell r="L38">
            <v>60</v>
          </cell>
          <cell r="M38">
            <v>1.9863013698630139E-2</v>
          </cell>
          <cell r="N38">
            <v>0</v>
          </cell>
          <cell r="O38">
            <v>0</v>
          </cell>
          <cell r="P38">
            <v>1.9863013698630194E-2</v>
          </cell>
          <cell r="Q38">
            <v>2154.21</v>
          </cell>
          <cell r="R38">
            <v>31.356768558951963</v>
          </cell>
          <cell r="S38" t="str">
            <v>Соответствует</v>
          </cell>
          <cell r="T38">
            <v>2258</v>
          </cell>
          <cell r="U38">
            <v>32.867540029112078</v>
          </cell>
          <cell r="V38">
            <v>1.0481800752944235</v>
          </cell>
          <cell r="W38" t="str">
            <v>Соответствует</v>
          </cell>
          <cell r="X38" t="str">
            <v>удовлетворительное</v>
          </cell>
          <cell r="Y38">
            <v>0.45</v>
          </cell>
          <cell r="Z38">
            <v>1266.9823684843625</v>
          </cell>
          <cell r="AA38">
            <v>18.442246993949961</v>
          </cell>
          <cell r="AB38">
            <v>0.58814245987362535</v>
          </cell>
          <cell r="AC38" t="str">
            <v>Соответствует</v>
          </cell>
          <cell r="AD38" t="str">
            <v>Не рассчитывалась</v>
          </cell>
          <cell r="AE38" t="str">
            <v>Не рассчитывалась</v>
          </cell>
          <cell r="AF38" t="e">
            <v>#VALUE!</v>
          </cell>
          <cell r="AG38">
            <v>68.7</v>
          </cell>
          <cell r="AH38">
            <v>0</v>
          </cell>
          <cell r="AI38" t="str">
            <v>Уточнить состояние по фото</v>
          </cell>
          <cell r="AJ38" t="str">
            <v>Чем обусловлена столь низкая балансовая стоимость 2,3 тыс. руб. за кирпичный объект площадью 68 кв. м?</v>
          </cell>
          <cell r="AK38">
            <v>1</v>
          </cell>
          <cell r="AL38">
            <v>2258</v>
          </cell>
          <cell r="AM38" t="str">
            <v>По сроку службы</v>
          </cell>
        </row>
        <row r="39">
          <cell r="A39">
            <v>53</v>
          </cell>
          <cell r="B39">
            <v>318</v>
          </cell>
          <cell r="C39" t="str">
            <v>Зерносклад (373) МТС Об.S-975,8 кв.м.  Литер Б Кад№ 23:11:0607000:1859</v>
          </cell>
          <cell r="D39">
            <v>33953</v>
          </cell>
          <cell r="E39">
            <v>33953</v>
          </cell>
          <cell r="F39">
            <v>756667</v>
          </cell>
          <cell r="G39">
            <v>13.261762999999998</v>
          </cell>
          <cell r="H39">
            <v>10034738.423920998</v>
          </cell>
          <cell r="I39">
            <v>23.057534246575344</v>
          </cell>
          <cell r="J39" t="str">
            <v>бутовые, ж/б панели</v>
          </cell>
          <cell r="K39">
            <v>0</v>
          </cell>
          <cell r="L39">
            <v>50</v>
          </cell>
          <cell r="M39">
            <v>0.46115068493150685</v>
          </cell>
          <cell r="N39">
            <v>0</v>
          </cell>
          <cell r="O39">
            <v>0</v>
          </cell>
          <cell r="P39">
            <v>0.46115068493150679</v>
          </cell>
          <cell r="Q39">
            <v>321583.52</v>
          </cell>
          <cell r="R39">
            <v>329.55884402541506</v>
          </cell>
          <cell r="S39" t="str">
            <v>Не соответствует</v>
          </cell>
          <cell r="T39">
            <v>5407212</v>
          </cell>
          <cell r="U39">
            <v>5541.3117442098792</v>
          </cell>
          <cell r="V39">
            <v>16.814331779190674</v>
          </cell>
          <cell r="W39" t="str">
            <v>Не соответствует</v>
          </cell>
          <cell r="X39" t="str">
            <v>хорошее</v>
          </cell>
          <cell r="Y39">
            <v>0.3</v>
          </cell>
          <cell r="Z39">
            <v>7024316.8967446983</v>
          </cell>
          <cell r="AA39">
            <v>7198.5211075473444</v>
          </cell>
          <cell r="AB39">
            <v>21.842900708172788</v>
          </cell>
          <cell r="AC39" t="str">
            <v>Соответствует</v>
          </cell>
          <cell r="AD39" t="str">
            <v>Не рассчитывалась</v>
          </cell>
          <cell r="AE39" t="str">
            <v>Не рассчитывалась</v>
          </cell>
          <cell r="AF39" t="e">
            <v>#VALUE!</v>
          </cell>
          <cell r="AG39">
            <v>975.8</v>
          </cell>
          <cell r="AH39" t="str">
            <v>будет использоваться</v>
          </cell>
          <cell r="AI39">
            <v>0</v>
          </cell>
          <cell r="AL39">
            <v>7024316.8967446983</v>
          </cell>
          <cell r="AM39" t="str">
            <v>Экспертно</v>
          </cell>
        </row>
        <row r="40">
          <cell r="A40">
            <v>54</v>
          </cell>
          <cell r="B40">
            <v>313</v>
          </cell>
          <cell r="C40" t="str">
            <v>Зерносклад на 2000 тонн ЦЗС Об.S-1367,1 кв.м. Литер Б  Кад № 23:11:0607000:1854</v>
          </cell>
          <cell r="D40">
            <v>28474</v>
          </cell>
          <cell r="E40">
            <v>28474</v>
          </cell>
          <cell r="F40">
            <v>531853</v>
          </cell>
          <cell r="G40">
            <v>13.261762999999998</v>
          </cell>
          <cell r="H40">
            <v>7053308.4368389994</v>
          </cell>
          <cell r="I40">
            <v>38.06849315068493</v>
          </cell>
          <cell r="J40" t="str">
            <v>кирпичные</v>
          </cell>
          <cell r="K40">
            <v>0</v>
          </cell>
          <cell r="L40">
            <v>60</v>
          </cell>
          <cell r="M40">
            <v>0.63447488584474887</v>
          </cell>
          <cell r="N40">
            <v>0</v>
          </cell>
          <cell r="O40">
            <v>0</v>
          </cell>
          <cell r="P40">
            <v>0.63447488584474887</v>
          </cell>
          <cell r="Q40">
            <v>332408.04000000004</v>
          </cell>
          <cell r="R40">
            <v>243.14829931972793</v>
          </cell>
          <cell r="S40" t="str">
            <v>Не соответствует</v>
          </cell>
          <cell r="T40">
            <v>2578161</v>
          </cell>
          <cell r="U40">
            <v>1885.8613122668423</v>
          </cell>
          <cell r="V40">
            <v>7.7560127607021769</v>
          </cell>
          <cell r="W40" t="str">
            <v>Не соответствует</v>
          </cell>
          <cell r="X40" t="str">
            <v>хорошее</v>
          </cell>
          <cell r="Y40">
            <v>0.3</v>
          </cell>
          <cell r="Z40">
            <v>4937315.9057872994</v>
          </cell>
          <cell r="AA40">
            <v>3611.5250572652326</v>
          </cell>
          <cell r="AB40">
            <v>14.853178358102586</v>
          </cell>
          <cell r="AC40" t="str">
            <v>Соответствует</v>
          </cell>
          <cell r="AD40" t="str">
            <v>Не рассчитывалась</v>
          </cell>
          <cell r="AE40" t="str">
            <v>Не рассчитывалась</v>
          </cell>
          <cell r="AF40" t="e">
            <v>#VALUE!</v>
          </cell>
          <cell r="AG40">
            <v>1367.1</v>
          </cell>
          <cell r="AH40" t="str">
            <v>будет использоваться</v>
          </cell>
          <cell r="AI40">
            <v>0</v>
          </cell>
          <cell r="AL40">
            <v>4937315.9057872994</v>
          </cell>
          <cell r="AM40" t="str">
            <v>Экспертно</v>
          </cell>
        </row>
        <row r="41">
          <cell r="A41">
            <v>55</v>
          </cell>
          <cell r="B41">
            <v>311</v>
          </cell>
          <cell r="C41" t="str">
            <v>Зерносклад на 3000 тонн (196) ЦЗС Об.S-1644,8 кв.м. Литер А Кад№ 23:11:0607000:1825</v>
          </cell>
          <cell r="D41">
            <v>26282</v>
          </cell>
          <cell r="E41">
            <v>26282</v>
          </cell>
          <cell r="F41">
            <v>474644</v>
          </cell>
          <cell r="G41">
            <v>13.261762999999998</v>
          </cell>
          <cell r="H41">
            <v>6294616.2373719988</v>
          </cell>
          <cell r="I41">
            <v>44.073972602739723</v>
          </cell>
          <cell r="J41" t="str">
            <v>кирпичные</v>
          </cell>
          <cell r="K41">
            <v>0</v>
          </cell>
          <cell r="L41">
            <v>60</v>
          </cell>
          <cell r="M41">
            <v>0.73456621004566203</v>
          </cell>
          <cell r="N41">
            <v>0</v>
          </cell>
          <cell r="O41">
            <v>0</v>
          </cell>
          <cell r="P41">
            <v>0.73456621004566203</v>
          </cell>
          <cell r="Q41">
            <v>298144.12</v>
          </cell>
          <cell r="R41">
            <v>181.26466439688716</v>
          </cell>
          <cell r="S41" t="str">
            <v>Не соответствует</v>
          </cell>
          <cell r="T41">
            <v>1670804</v>
          </cell>
          <cell r="U41">
            <v>1015.8098249027238</v>
          </cell>
          <cell r="V41">
            <v>5.6040145953574401</v>
          </cell>
          <cell r="W41" t="str">
            <v>Не соответствует</v>
          </cell>
          <cell r="X41" t="str">
            <v>хорошее</v>
          </cell>
          <cell r="Y41">
            <v>0.3</v>
          </cell>
          <cell r="Z41">
            <v>4406231.3661603993</v>
          </cell>
          <cell r="AA41">
            <v>2678.8858014107486</v>
          </cell>
          <cell r="AB41">
            <v>14.778863880194583</v>
          </cell>
          <cell r="AC41" t="str">
            <v>Соответствует</v>
          </cell>
          <cell r="AD41" t="str">
            <v>Не рассчитывалась</v>
          </cell>
          <cell r="AE41" t="str">
            <v>Не рассчитывалась</v>
          </cell>
          <cell r="AF41" t="e">
            <v>#VALUE!</v>
          </cell>
          <cell r="AG41">
            <v>1644.8</v>
          </cell>
          <cell r="AH41" t="str">
            <v>будет использоваться</v>
          </cell>
          <cell r="AI41">
            <v>0</v>
          </cell>
          <cell r="AL41">
            <v>4406231.3661603993</v>
          </cell>
          <cell r="AM41" t="str">
            <v>Экспертно</v>
          </cell>
        </row>
        <row r="42">
          <cell r="A42">
            <v>56</v>
          </cell>
          <cell r="B42">
            <v>314</v>
          </cell>
          <cell r="C42" t="str">
            <v>Зернохранилище  (205) ЦЗС (К) Об.S-1223 кв.м. Кад№  23:11:0702000:768</v>
          </cell>
          <cell r="D42">
            <v>25187</v>
          </cell>
          <cell r="E42">
            <v>25187</v>
          </cell>
          <cell r="F42">
            <v>459733</v>
          </cell>
          <cell r="G42">
            <v>13.261762999999998</v>
          </cell>
          <cell r="H42">
            <v>6096870.0892789997</v>
          </cell>
          <cell r="I42">
            <v>47.073972602739723</v>
          </cell>
          <cell r="J42" t="str">
            <v>кирпичные</v>
          </cell>
          <cell r="K42">
            <v>0</v>
          </cell>
          <cell r="L42">
            <v>60</v>
          </cell>
          <cell r="M42">
            <v>0.78456621004566207</v>
          </cell>
          <cell r="N42">
            <v>0</v>
          </cell>
          <cell r="O42">
            <v>0</v>
          </cell>
          <cell r="P42">
            <v>0.78456621004566207</v>
          </cell>
          <cell r="Q42">
            <v>0</v>
          </cell>
          <cell r="R42">
            <v>0</v>
          </cell>
          <cell r="S42" t="str">
            <v>Не соответствует</v>
          </cell>
          <cell r="T42">
            <v>1313472</v>
          </cell>
          <cell r="U42">
            <v>1073.9754701553557</v>
          </cell>
          <cell r="V42" t="e">
            <v>#DIV/0!</v>
          </cell>
          <cell r="W42" t="str">
            <v>Не соответствует</v>
          </cell>
          <cell r="X42" t="str">
            <v>хорошее</v>
          </cell>
          <cell r="Y42">
            <v>0.3</v>
          </cell>
          <cell r="Z42">
            <v>4267809.0624952996</v>
          </cell>
          <cell r="AA42">
            <v>3489.6231091539653</v>
          </cell>
          <cell r="AB42" t="e">
            <v>#DIV/0!</v>
          </cell>
          <cell r="AC42" t="str">
            <v>Соответствует</v>
          </cell>
          <cell r="AD42" t="str">
            <v>Не рассчитывалась</v>
          </cell>
          <cell r="AE42" t="str">
            <v>Не рассчитывалась</v>
          </cell>
          <cell r="AF42" t="e">
            <v>#VALUE!</v>
          </cell>
          <cell r="AG42">
            <v>1223</v>
          </cell>
          <cell r="AH42" t="str">
            <v>будет использоваться</v>
          </cell>
          <cell r="AI42">
            <v>0</v>
          </cell>
          <cell r="AL42">
            <v>4267809.0624952996</v>
          </cell>
          <cell r="AM42" t="str">
            <v>Экспертно</v>
          </cell>
        </row>
        <row r="43">
          <cell r="A43">
            <v>57</v>
          </cell>
          <cell r="B43" t="str">
            <v>Р00006265</v>
          </cell>
          <cell r="C43" t="str">
            <v>Контора цеха животноводства МТФ-3</v>
          </cell>
          <cell r="D43">
            <v>39447</v>
          </cell>
          <cell r="E43">
            <v>39447</v>
          </cell>
          <cell r="F43">
            <v>284651.77</v>
          </cell>
          <cell r="G43">
            <v>2.0666293393057109</v>
          </cell>
          <cell r="H43">
            <v>588269.69936730119</v>
          </cell>
          <cell r="I43">
            <v>8.0054794520547947</v>
          </cell>
          <cell r="J43" t="str">
            <v>шлакоблоки</v>
          </cell>
          <cell r="K43">
            <v>0</v>
          </cell>
          <cell r="L43">
            <v>60</v>
          </cell>
          <cell r="M43">
            <v>0.13342465753424657</v>
          </cell>
          <cell r="N43">
            <v>0</v>
          </cell>
          <cell r="O43">
            <v>0</v>
          </cell>
          <cell r="P43">
            <v>0.13342465753424659</v>
          </cell>
          <cell r="Q43">
            <v>227721.85000000003</v>
          </cell>
          <cell r="R43">
            <v>4465.1343137254908</v>
          </cell>
          <cell r="S43" t="str">
            <v>Не соответствует</v>
          </cell>
          <cell r="T43">
            <v>509780</v>
          </cell>
          <cell r="U43">
            <v>9995.6862745098042</v>
          </cell>
          <cell r="V43">
            <v>2.2386081967979794</v>
          </cell>
          <cell r="W43" t="str">
            <v>Соответствует</v>
          </cell>
          <cell r="X43" t="str">
            <v>хорошее</v>
          </cell>
          <cell r="Y43">
            <v>0.2</v>
          </cell>
          <cell r="Z43">
            <v>470615.75949384097</v>
          </cell>
          <cell r="AA43">
            <v>9227.7599900753139</v>
          </cell>
          <cell r="AB43">
            <v>2.0666254006536522</v>
          </cell>
          <cell r="AC43" t="str">
            <v>Соответствует</v>
          </cell>
          <cell r="AD43" t="str">
            <v>Не рассчитывалась</v>
          </cell>
          <cell r="AE43" t="str">
            <v>Не рассчитывалась</v>
          </cell>
          <cell r="AF43" t="e">
            <v>#VALUE!</v>
          </cell>
          <cell r="AG43">
            <v>51</v>
          </cell>
          <cell r="AH43">
            <v>0</v>
          </cell>
          <cell r="AI43">
            <v>0</v>
          </cell>
          <cell r="AL43">
            <v>470615.75949384097</v>
          </cell>
          <cell r="AM43" t="str">
            <v>Экспертно</v>
          </cell>
        </row>
        <row r="44">
          <cell r="A44">
            <v>58</v>
          </cell>
          <cell r="B44">
            <v>414</v>
          </cell>
          <cell r="C44" t="str">
            <v>Корнеплодоовощехранилище (Зернохранилище (200) Об.S-1806,5 кв.м.МТФ№3 Литер Ж Кад№ 23:11:0702000:754</v>
          </cell>
          <cell r="D44">
            <v>30665</v>
          </cell>
          <cell r="E44">
            <v>30665</v>
          </cell>
          <cell r="F44">
            <v>747325</v>
          </cell>
          <cell r="G44">
            <v>13.261762999999998</v>
          </cell>
          <cell r="H44">
            <v>9910847.0339749996</v>
          </cell>
          <cell r="I44">
            <v>32.065753424657537</v>
          </cell>
          <cell r="J44" t="str">
            <v>железобетонные панели</v>
          </cell>
          <cell r="K44">
            <v>0</v>
          </cell>
          <cell r="L44">
            <v>50</v>
          </cell>
          <cell r="M44">
            <v>0.64131506849315079</v>
          </cell>
          <cell r="N44">
            <v>0</v>
          </cell>
          <cell r="O44">
            <v>0</v>
          </cell>
          <cell r="P44">
            <v>0.64131506849315079</v>
          </cell>
          <cell r="Q44">
            <v>467078.24</v>
          </cell>
          <cell r="R44">
            <v>143.73407188577056</v>
          </cell>
          <cell r="S44" t="str">
            <v>Не соответствует</v>
          </cell>
          <cell r="T44">
            <v>3554871</v>
          </cell>
          <cell r="U44">
            <v>1093.9411004431315</v>
          </cell>
          <cell r="V44">
            <v>7.610868363296051</v>
          </cell>
          <cell r="W44" t="str">
            <v>Не соответствует</v>
          </cell>
          <cell r="X44" t="str">
            <v>хорошее</v>
          </cell>
          <cell r="Y44">
            <v>0.3</v>
          </cell>
          <cell r="Z44">
            <v>6937592.9237824995</v>
          </cell>
          <cell r="AA44">
            <v>2134.9067343003753</v>
          </cell>
          <cell r="AB44">
            <v>14.853170902978695</v>
          </cell>
          <cell r="AC44" t="str">
            <v>Соответствует</v>
          </cell>
          <cell r="AD44" t="str">
            <v>Не рассчитывалась</v>
          </cell>
          <cell r="AE44" t="str">
            <v>Не рассчитывалась</v>
          </cell>
          <cell r="AF44" t="e">
            <v>#VALUE!</v>
          </cell>
          <cell r="AG44">
            <v>3249.6</v>
          </cell>
          <cell r="AH44" t="str">
            <v>будет использоваться</v>
          </cell>
          <cell r="AI44">
            <v>0</v>
          </cell>
          <cell r="AL44">
            <v>6937592.9237824995</v>
          </cell>
          <cell r="AM44" t="str">
            <v>Экспертно</v>
          </cell>
        </row>
        <row r="45">
          <cell r="A45">
            <v>59</v>
          </cell>
          <cell r="B45">
            <v>317</v>
          </cell>
          <cell r="C45" t="str">
            <v>Корнеплодохранилище  (Зернохранилище(271) бр2) Об.S-1805,3 кв.м. Литер З Кад№ 23:11:0607000:1664</v>
          </cell>
          <cell r="D45">
            <v>29935</v>
          </cell>
          <cell r="E45">
            <v>29935</v>
          </cell>
          <cell r="F45">
            <v>495230</v>
          </cell>
          <cell r="G45">
            <v>13.261762999999998</v>
          </cell>
          <cell r="H45">
            <v>6567622.8904899992</v>
          </cell>
          <cell r="I45">
            <v>34.065753424657537</v>
          </cell>
          <cell r="J45" t="str">
            <v>железобетонные панели</v>
          </cell>
          <cell r="K45">
            <v>0</v>
          </cell>
          <cell r="L45">
            <v>60</v>
          </cell>
          <cell r="M45">
            <v>0.56776255707762557</v>
          </cell>
          <cell r="N45">
            <v>0</v>
          </cell>
          <cell r="O45">
            <v>0</v>
          </cell>
          <cell r="P45">
            <v>0.56776255707762557</v>
          </cell>
          <cell r="Q45">
            <v>309518.64</v>
          </cell>
          <cell r="R45">
            <v>171.44997507339502</v>
          </cell>
          <cell r="S45" t="str">
            <v>Не соответствует</v>
          </cell>
          <cell r="T45">
            <v>2838773</v>
          </cell>
          <cell r="U45">
            <v>1572.4660721209771</v>
          </cell>
          <cell r="V45">
            <v>9.1715736409283775</v>
          </cell>
          <cell r="W45" t="str">
            <v>Не соответствует</v>
          </cell>
          <cell r="X45" t="str">
            <v>хорошее</v>
          </cell>
          <cell r="Y45">
            <v>0.2</v>
          </cell>
          <cell r="Z45">
            <v>5254098.3123920001</v>
          </cell>
          <cell r="AA45">
            <v>2910.3740721165459</v>
          </cell>
          <cell r="AB45">
            <v>16.97506267277473</v>
          </cell>
          <cell r="AC45" t="str">
            <v>Соответствует</v>
          </cell>
          <cell r="AD45" t="str">
            <v>Не рассчитывалась</v>
          </cell>
          <cell r="AE45" t="str">
            <v>Не рассчитывалась</v>
          </cell>
          <cell r="AF45" t="e">
            <v>#VALUE!</v>
          </cell>
          <cell r="AG45">
            <v>1805.3</v>
          </cell>
          <cell r="AH45" t="str">
            <v>будет использоваться</v>
          </cell>
          <cell r="AI45">
            <v>0</v>
          </cell>
          <cell r="AL45">
            <v>5254098.3123920001</v>
          </cell>
          <cell r="AM45" t="str">
            <v>Экспертно</v>
          </cell>
        </row>
        <row r="46">
          <cell r="A46">
            <v>67</v>
          </cell>
          <cell r="B46">
            <v>362</v>
          </cell>
          <cell r="C46" t="str">
            <v>Коровник на 400 гол Об.пл. 2457,4кв.м.(144)МТФ№1ЛитерВ Усл№ 000:03:220:001:015435930:0003</v>
          </cell>
          <cell r="D46">
            <v>29204</v>
          </cell>
          <cell r="E46">
            <v>29204</v>
          </cell>
          <cell r="F46">
            <v>2210976.94</v>
          </cell>
          <cell r="G46">
            <v>13.261762999999998</v>
          </cell>
          <cell r="H46">
            <v>29321452.176745217</v>
          </cell>
          <cell r="I46">
            <v>36.06849315068493</v>
          </cell>
          <cell r="J46" t="str">
            <v>кирпичное</v>
          </cell>
          <cell r="K46">
            <v>0</v>
          </cell>
          <cell r="L46">
            <v>60</v>
          </cell>
          <cell r="M46">
            <v>0.60114155251141554</v>
          </cell>
          <cell r="N46">
            <v>0</v>
          </cell>
          <cell r="O46">
            <v>0</v>
          </cell>
          <cell r="P46">
            <v>0.60114155251141554</v>
          </cell>
          <cell r="Q46">
            <v>1381860.54</v>
          </cell>
          <cell r="R46">
            <v>562.32625539187757</v>
          </cell>
          <cell r="S46" t="str">
            <v>Не соответствует</v>
          </cell>
          <cell r="T46">
            <v>11695109</v>
          </cell>
          <cell r="U46">
            <v>4759.1393342557176</v>
          </cell>
          <cell r="V46">
            <v>8.463306289938636</v>
          </cell>
          <cell r="W46" t="str">
            <v>Соответствует</v>
          </cell>
          <cell r="X46" t="str">
            <v>хорошее</v>
          </cell>
          <cell r="Y46">
            <v>0.3</v>
          </cell>
          <cell r="Z46">
            <v>20525016.52372165</v>
          </cell>
          <cell r="AA46">
            <v>8352.3303181092415</v>
          </cell>
          <cell r="AB46">
            <v>14.853175070562221</v>
          </cell>
          <cell r="AC46" t="str">
            <v>Не соответствует</v>
          </cell>
          <cell r="AD46" t="str">
            <v>Не рассчитывалась</v>
          </cell>
          <cell r="AE46" t="str">
            <v>Не рассчитывалась</v>
          </cell>
          <cell r="AF46" t="e">
            <v>#VALUE!</v>
          </cell>
          <cell r="AG46">
            <v>2457.4</v>
          </cell>
          <cell r="AH46" t="str">
            <v>будет использоваться</v>
          </cell>
          <cell r="AI46">
            <v>0</v>
          </cell>
          <cell r="AL46">
            <v>11695109</v>
          </cell>
          <cell r="AM46" t="str">
            <v>По сроку службы</v>
          </cell>
        </row>
        <row r="47">
          <cell r="A47">
            <v>69</v>
          </cell>
          <cell r="B47">
            <v>350</v>
          </cell>
          <cell r="C47" t="str">
            <v>Коровник-5 на 100 гол №146 МТФ №1  ЛитерЕ Об.пл. 779,5 кв.м Усл. номер 000:03:220:001:015435930:0005</v>
          </cell>
          <cell r="D47">
            <v>20804</v>
          </cell>
          <cell r="E47">
            <v>20804</v>
          </cell>
          <cell r="F47">
            <v>869820.66</v>
          </cell>
          <cell r="G47">
            <v>13.261762999999998</v>
          </cell>
          <cell r="H47">
            <v>11535355.445423579</v>
          </cell>
          <cell r="I47">
            <v>59.082191780821915</v>
          </cell>
          <cell r="J47" t="str">
            <v>кирпичное</v>
          </cell>
          <cell r="K47">
            <v>0</v>
          </cell>
          <cell r="L47">
            <v>60</v>
          </cell>
          <cell r="M47">
            <v>0.8</v>
          </cell>
          <cell r="N47">
            <v>0</v>
          </cell>
          <cell r="O47">
            <v>0</v>
          </cell>
          <cell r="P47">
            <v>0.8</v>
          </cell>
          <cell r="Q47">
            <v>561070.14</v>
          </cell>
          <cell r="R47">
            <v>719.78209108402825</v>
          </cell>
          <cell r="S47" t="str">
            <v>Не соответствует</v>
          </cell>
          <cell r="T47">
            <v>2307071</v>
          </cell>
          <cell r="U47">
            <v>2959.6805644644</v>
          </cell>
          <cell r="V47">
            <v>4.1119119260205146</v>
          </cell>
          <cell r="W47" t="str">
            <v>Соответствует</v>
          </cell>
          <cell r="X47" t="str">
            <v>удовлетворительное</v>
          </cell>
          <cell r="Y47">
            <v>0.5</v>
          </cell>
          <cell r="Z47">
            <v>5767677.7227117894</v>
          </cell>
          <cell r="AA47">
            <v>7399.2016968720836</v>
          </cell>
          <cell r="AB47">
            <v>10.279780211992371</v>
          </cell>
          <cell r="AC47" t="str">
            <v>Не соответствует</v>
          </cell>
          <cell r="AD47" t="str">
            <v>Не рассчитывалась</v>
          </cell>
          <cell r="AE47" t="str">
            <v>Не рассчитывалась</v>
          </cell>
          <cell r="AF47" t="e">
            <v>#VALUE!</v>
          </cell>
          <cell r="AG47">
            <v>779.5</v>
          </cell>
          <cell r="AH47" t="str">
            <v>ликвидация</v>
          </cell>
          <cell r="AI47">
            <v>0</v>
          </cell>
          <cell r="AL47">
            <v>0</v>
          </cell>
          <cell r="AM47" t="str">
            <v>Не рассчитывалась</v>
          </cell>
        </row>
        <row r="48">
          <cell r="A48">
            <v>70</v>
          </cell>
          <cell r="B48">
            <v>349</v>
          </cell>
          <cell r="C48" t="str">
            <v>Коровник-6 на 200 гол №145 МТФ №1  Литер Д Об.пл.796,2 кв.м. Усл№ 000:03:220:001:015435930:0004</v>
          </cell>
          <cell r="D48">
            <v>25187</v>
          </cell>
          <cell r="E48">
            <v>25187</v>
          </cell>
          <cell r="F48">
            <v>2168287.6</v>
          </cell>
          <cell r="G48">
            <v>13.261762999999998</v>
          </cell>
          <cell r="H48">
            <v>28755316.267038796</v>
          </cell>
          <cell r="I48">
            <v>47.073972602739723</v>
          </cell>
          <cell r="J48" t="str">
            <v>кирпичное</v>
          </cell>
          <cell r="K48">
            <v>0</v>
          </cell>
          <cell r="L48">
            <v>60</v>
          </cell>
          <cell r="M48">
            <v>0.78456621004566207</v>
          </cell>
          <cell r="N48">
            <v>0</v>
          </cell>
          <cell r="O48">
            <v>0</v>
          </cell>
          <cell r="P48">
            <v>0.78456621004566207</v>
          </cell>
          <cell r="Q48">
            <v>1590840.2800000003</v>
          </cell>
          <cell r="R48">
            <v>1998.0410449635772</v>
          </cell>
          <cell r="S48" t="str">
            <v>Соответствует</v>
          </cell>
          <cell r="T48">
            <v>6194867</v>
          </cell>
          <cell r="U48">
            <v>7780.5413212760604</v>
          </cell>
          <cell r="V48">
            <v>3.8940848291822223</v>
          </cell>
          <cell r="W48" t="str">
            <v>Не соответствует</v>
          </cell>
          <cell r="X48" t="str">
            <v>удовлетворительное</v>
          </cell>
          <cell r="Y48">
            <v>0.5</v>
          </cell>
          <cell r="Z48">
            <v>14377658.133519398</v>
          </cell>
          <cell r="AA48">
            <v>18057.847442249935</v>
          </cell>
          <cell r="AB48">
            <v>9.0377760195507477</v>
          </cell>
          <cell r="AC48" t="str">
            <v>Не соответствует</v>
          </cell>
          <cell r="AD48" t="str">
            <v>Не рассчитывалась</v>
          </cell>
          <cell r="AE48" t="str">
            <v>Не рассчитывалась</v>
          </cell>
          <cell r="AF48" t="e">
            <v>#VALUE!</v>
          </cell>
          <cell r="AG48">
            <v>796.2</v>
          </cell>
          <cell r="AH48" t="str">
            <v>ликвидация</v>
          </cell>
          <cell r="AI48">
            <v>0</v>
          </cell>
          <cell r="AL48">
            <v>0</v>
          </cell>
          <cell r="AM48" t="str">
            <v>Не рассчитывалась</v>
          </cell>
        </row>
        <row r="49">
          <cell r="A49">
            <v>71</v>
          </cell>
          <cell r="B49">
            <v>357</v>
          </cell>
          <cell r="C49" t="str">
            <v>Корпус  4-х рядн Об.пл.-830,7 кв.м. ЛитерЩ,щ(Корпус для сод.лошадей  СТФ)Кад№ 23:11:0702000:763</v>
          </cell>
          <cell r="D49">
            <v>24456</v>
          </cell>
          <cell r="E49">
            <v>24456</v>
          </cell>
          <cell r="F49">
            <v>70691</v>
          </cell>
          <cell r="G49">
            <v>13.261762999999998</v>
          </cell>
          <cell r="H49">
            <v>937487.28823299985</v>
          </cell>
          <cell r="I49">
            <v>49.076712328767123</v>
          </cell>
          <cell r="J49" t="str">
            <v>каменные</v>
          </cell>
          <cell r="K49">
            <v>0</v>
          </cell>
          <cell r="L49">
            <v>60</v>
          </cell>
          <cell r="M49">
            <v>0.8</v>
          </cell>
          <cell r="N49">
            <v>0</v>
          </cell>
          <cell r="O49">
            <v>0</v>
          </cell>
          <cell r="P49">
            <v>0.8</v>
          </cell>
          <cell r="Q49">
            <v>0.52000000000407454</v>
          </cell>
          <cell r="R49">
            <v>6.2597809077172804E-4</v>
          </cell>
          <cell r="S49">
            <v>0</v>
          </cell>
          <cell r="T49">
            <v>187497</v>
          </cell>
          <cell r="U49">
            <v>225.70964247020584</v>
          </cell>
          <cell r="V49">
            <v>360571.15384332853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  <cell r="AA49" t="str">
            <v/>
          </cell>
          <cell r="AB49" t="e">
            <v>#VALUE!</v>
          </cell>
          <cell r="AC49">
            <v>0</v>
          </cell>
          <cell r="AD49" t="str">
            <v>Не рассчитывалась</v>
          </cell>
          <cell r="AE49" t="str">
            <v>Не рассчитывалась</v>
          </cell>
          <cell r="AF49" t="e">
            <v>#VALUE!</v>
          </cell>
          <cell r="AG49">
            <v>830.7</v>
          </cell>
          <cell r="AH49" t="str">
            <v>ликвидация</v>
          </cell>
          <cell r="AI49" t="str">
            <v>Уточнить состояние по фото</v>
          </cell>
          <cell r="AL49">
            <v>0</v>
          </cell>
          <cell r="AM49" t="str">
            <v>Не рассчитывалась</v>
          </cell>
        </row>
        <row r="50">
          <cell r="A50">
            <v>72</v>
          </cell>
          <cell r="B50">
            <v>370</v>
          </cell>
          <cell r="C50" t="str">
            <v>Корпус -Маточник  (118) СТФ  Литер Ч об.пл.710,6 кв.м. Кад№ 23:11:0607000:1638</v>
          </cell>
          <cell r="D50">
            <v>37970</v>
          </cell>
          <cell r="E50">
            <v>37970</v>
          </cell>
          <cell r="F50">
            <v>1239920</v>
          </cell>
          <cell r="G50">
            <v>3.9624261943102521</v>
          </cell>
          <cell r="H50">
            <v>4913091.4868491674</v>
          </cell>
          <cell r="I50">
            <v>12.052054794520547</v>
          </cell>
          <cell r="J50" t="str">
            <v>каменные</v>
          </cell>
          <cell r="K50">
            <v>0</v>
          </cell>
          <cell r="L50">
            <v>60</v>
          </cell>
          <cell r="M50">
            <v>0.20086757990867579</v>
          </cell>
          <cell r="N50">
            <v>0</v>
          </cell>
          <cell r="O50">
            <v>0</v>
          </cell>
          <cell r="P50">
            <v>0.20086757990867576</v>
          </cell>
          <cell r="Q50">
            <v>958354.51</v>
          </cell>
          <cell r="R50">
            <v>1348.6553757388122</v>
          </cell>
          <cell r="S50">
            <v>0</v>
          </cell>
          <cell r="T50">
            <v>3926211</v>
          </cell>
          <cell r="U50">
            <v>5525.2054601745003</v>
          </cell>
          <cell r="V50">
            <v>4.0968252969352648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  <cell r="AA50" t="str">
            <v/>
          </cell>
          <cell r="AB50" t="e">
            <v>#VALUE!</v>
          </cell>
          <cell r="AC50">
            <v>0</v>
          </cell>
          <cell r="AD50" t="str">
            <v>Не рассчитывалась</v>
          </cell>
          <cell r="AE50" t="str">
            <v>Не рассчитывалась</v>
          </cell>
          <cell r="AF50" t="e">
            <v>#VALUE!</v>
          </cell>
          <cell r="AG50">
            <v>710.6</v>
          </cell>
          <cell r="AH50" t="str">
            <v>ликвидация</v>
          </cell>
          <cell r="AI50">
            <v>0</v>
          </cell>
          <cell r="AL50">
            <v>0</v>
          </cell>
          <cell r="AM50" t="str">
            <v>Не рассчитывалась</v>
          </cell>
        </row>
        <row r="51">
          <cell r="A51">
            <v>73</v>
          </cell>
          <cell r="B51">
            <v>360</v>
          </cell>
          <cell r="C51" t="str">
            <v>Корпус №2 Об.пл. 798,4 кв.м. Литер Э (Свинарник откормочник на 3000 гол, СТФ) Кад№ 23:11:0702000:752</v>
          </cell>
          <cell r="D51">
            <v>36875</v>
          </cell>
          <cell r="E51">
            <v>36875</v>
          </cell>
          <cell r="F51">
            <v>866579</v>
          </cell>
          <cell r="G51">
            <v>6.8542246982358401</v>
          </cell>
          <cell r="H51">
            <v>5939727.1847725157</v>
          </cell>
          <cell r="I51">
            <v>15.052054794520547</v>
          </cell>
          <cell r="J51" t="str">
            <v>каменные</v>
          </cell>
          <cell r="K51">
            <v>0</v>
          </cell>
          <cell r="L51">
            <v>60</v>
          </cell>
          <cell r="M51">
            <v>0.25086757990867581</v>
          </cell>
          <cell r="N51">
            <v>0</v>
          </cell>
          <cell r="O51">
            <v>0</v>
          </cell>
          <cell r="P51">
            <v>0.25086757990867581</v>
          </cell>
          <cell r="Q51">
            <v>604800.11</v>
          </cell>
          <cell r="R51">
            <v>757.51516783567138</v>
          </cell>
          <cell r="S51" t="str">
            <v>Не соответствует</v>
          </cell>
          <cell r="T51">
            <v>4449642</v>
          </cell>
          <cell r="U51">
            <v>5573.1988977955916</v>
          </cell>
          <cell r="V51">
            <v>7.3572109634702283</v>
          </cell>
          <cell r="W51" t="str">
            <v>Соответствует</v>
          </cell>
          <cell r="X51" t="str">
            <v>хорошее</v>
          </cell>
          <cell r="Y51">
            <v>0.3</v>
          </cell>
          <cell r="Z51">
            <v>4157809.0293407608</v>
          </cell>
          <cell r="AA51">
            <v>5207.6766399558628</v>
          </cell>
          <cell r="AB51">
            <v>6.8746829912791529</v>
          </cell>
          <cell r="AC51" t="str">
            <v>Соответствует</v>
          </cell>
          <cell r="AD51" t="str">
            <v>Не рассчитывалась</v>
          </cell>
          <cell r="AE51" t="str">
            <v>Не рассчитывалась</v>
          </cell>
          <cell r="AF51" t="e">
            <v>#VALUE!</v>
          </cell>
          <cell r="AG51">
            <v>798.4</v>
          </cell>
          <cell r="AH51" t="str">
            <v>будет использоваться</v>
          </cell>
          <cell r="AI51">
            <v>0</v>
          </cell>
          <cell r="AL51">
            <v>4157809.0293407608</v>
          </cell>
          <cell r="AM51" t="str">
            <v>Экспертно</v>
          </cell>
        </row>
        <row r="52">
          <cell r="A52">
            <v>76</v>
          </cell>
          <cell r="B52">
            <v>361</v>
          </cell>
          <cell r="C52" t="str">
            <v>Корпус для откорма свиней (Свинарник откормочник,СТФ ЛитерС) 1766,7кв.м.  Кад№ 23:11:0702000:766</v>
          </cell>
          <cell r="D52">
            <v>26282</v>
          </cell>
          <cell r="E52">
            <v>26282</v>
          </cell>
          <cell r="F52">
            <v>1153311</v>
          </cell>
          <cell r="G52">
            <v>13.261762999999998</v>
          </cell>
          <cell r="H52">
            <v>15294937.147292998</v>
          </cell>
          <cell r="I52">
            <v>44.073972602739723</v>
          </cell>
          <cell r="J52" t="str">
            <v>каменные</v>
          </cell>
          <cell r="K52">
            <v>0</v>
          </cell>
          <cell r="L52">
            <v>60</v>
          </cell>
          <cell r="M52">
            <v>0.73456621004566203</v>
          </cell>
          <cell r="N52">
            <v>0</v>
          </cell>
          <cell r="O52">
            <v>0</v>
          </cell>
          <cell r="P52">
            <v>0.73456621004566203</v>
          </cell>
          <cell r="Q52">
            <v>804935.19</v>
          </cell>
          <cell r="R52">
            <v>455.61509594158599</v>
          </cell>
          <cell r="S52">
            <v>0</v>
          </cell>
          <cell r="T52">
            <v>4059793</v>
          </cell>
          <cell r="U52">
            <v>2297.9526801381107</v>
          </cell>
          <cell r="V52">
            <v>5.0436271769904861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 t="str">
            <v/>
          </cell>
          <cell r="AB52" t="e">
            <v>#VALUE!</v>
          </cell>
          <cell r="AC52">
            <v>0</v>
          </cell>
          <cell r="AD52" t="str">
            <v>Не рассчитывалась</v>
          </cell>
          <cell r="AE52" t="str">
            <v>Не рассчитывалась</v>
          </cell>
          <cell r="AF52" t="e">
            <v>#VALUE!</v>
          </cell>
          <cell r="AG52">
            <v>1766.7</v>
          </cell>
          <cell r="AH52" t="str">
            <v>ликвидация</v>
          </cell>
          <cell r="AI52">
            <v>0</v>
          </cell>
          <cell r="AL52">
            <v>0</v>
          </cell>
          <cell r="AM52" t="str">
            <v>Не рассчитывалась</v>
          </cell>
        </row>
        <row r="53">
          <cell r="A53">
            <v>77</v>
          </cell>
          <cell r="B53">
            <v>365</v>
          </cell>
          <cell r="C53" t="str">
            <v>Корпус для свиней 1796кв.м (Свинарник откорм, на-3000 гол, (114) СТФ Литер Т) Кад№ 23:11:0702000:777</v>
          </cell>
          <cell r="D53">
            <v>25917</v>
          </cell>
          <cell r="E53">
            <v>25917</v>
          </cell>
          <cell r="F53">
            <v>1201711.76</v>
          </cell>
          <cell r="G53">
            <v>13.261762999999998</v>
          </cell>
          <cell r="H53">
            <v>15936816.555432878</v>
          </cell>
          <cell r="I53">
            <v>45.073972602739723</v>
          </cell>
          <cell r="J53" t="str">
            <v>каменные</v>
          </cell>
          <cell r="K53">
            <v>0</v>
          </cell>
          <cell r="L53">
            <v>60</v>
          </cell>
          <cell r="M53">
            <v>0.75123287671232875</v>
          </cell>
          <cell r="N53">
            <v>0</v>
          </cell>
          <cell r="O53">
            <v>0</v>
          </cell>
          <cell r="P53">
            <v>0.75123287671232875</v>
          </cell>
          <cell r="Q53">
            <v>857061.22</v>
          </cell>
          <cell r="R53">
            <v>477.04620950684625</v>
          </cell>
          <cell r="S53" t="str">
            <v>Не соответствует</v>
          </cell>
          <cell r="T53">
            <v>3964556</v>
          </cell>
          <cell r="U53">
            <v>2206.6993209395528</v>
          </cell>
          <cell r="V53">
            <v>4.6257559057449829</v>
          </cell>
          <cell r="W53" t="str">
            <v>Соответствует</v>
          </cell>
          <cell r="X53" t="str">
            <v>неудовлетворительное</v>
          </cell>
          <cell r="Y53">
            <v>0.7</v>
          </cell>
          <cell r="Z53">
            <v>4781044.9666298646</v>
          </cell>
          <cell r="AA53">
            <v>2661.162733290585</v>
          </cell>
          <cell r="AB53">
            <v>5.5784171014409738</v>
          </cell>
          <cell r="AC53" t="str">
            <v>Соответствует</v>
          </cell>
          <cell r="AD53" t="str">
            <v>Не рассчитывалась</v>
          </cell>
          <cell r="AE53" t="str">
            <v>Не рассчитывалась</v>
          </cell>
          <cell r="AF53" t="e">
            <v>#VALUE!</v>
          </cell>
          <cell r="AG53">
            <v>1796.6</v>
          </cell>
          <cell r="AH53" t="str">
            <v>будет использоваться</v>
          </cell>
          <cell r="AI53">
            <v>0</v>
          </cell>
          <cell r="AL53">
            <v>3964556</v>
          </cell>
          <cell r="AM53" t="str">
            <v>По сроку службы</v>
          </cell>
        </row>
        <row r="54">
          <cell r="A54">
            <v>78</v>
          </cell>
          <cell r="B54">
            <v>364</v>
          </cell>
          <cell r="C54" t="str">
            <v>Корпус маточник 1072,30кв.м.(Свинарник откорм., на-1500 гол,СТФ Литер Л,л,л1) Кад№ 23:11:0702000:759</v>
          </cell>
          <cell r="D54">
            <v>25187</v>
          </cell>
          <cell r="E54">
            <v>25187</v>
          </cell>
          <cell r="F54">
            <v>3369569.01</v>
          </cell>
          <cell r="G54">
            <v>13.261762999999998</v>
          </cell>
          <cell r="H54">
            <v>44686425.622764625</v>
          </cell>
          <cell r="I54">
            <v>47.073972602739723</v>
          </cell>
          <cell r="J54" t="str">
            <v>каменные</v>
          </cell>
          <cell r="K54">
            <v>0</v>
          </cell>
          <cell r="L54">
            <v>60</v>
          </cell>
          <cell r="M54">
            <v>0.78456621004566207</v>
          </cell>
          <cell r="N54">
            <v>0</v>
          </cell>
          <cell r="O54">
            <v>0</v>
          </cell>
          <cell r="P54">
            <v>0.78456621004566207</v>
          </cell>
          <cell r="Q54">
            <v>0</v>
          </cell>
          <cell r="R54">
            <v>0</v>
          </cell>
          <cell r="S54">
            <v>0</v>
          </cell>
          <cell r="T54">
            <v>9626966</v>
          </cell>
          <cell r="U54">
            <v>8977.8662687680699</v>
          </cell>
          <cell r="V54" t="e">
            <v>#DIV/0!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  <cell r="AA54" t="str">
            <v/>
          </cell>
          <cell r="AB54" t="e">
            <v>#VALUE!</v>
          </cell>
          <cell r="AC54">
            <v>0</v>
          </cell>
          <cell r="AD54" t="str">
            <v>Не рассчитывалась</v>
          </cell>
          <cell r="AE54" t="str">
            <v>Не рассчитывалась</v>
          </cell>
          <cell r="AF54" t="e">
            <v>#VALUE!</v>
          </cell>
          <cell r="AG54">
            <v>1072.3</v>
          </cell>
          <cell r="AH54" t="str">
            <v>не будет использоваться</v>
          </cell>
          <cell r="AI54">
            <v>0</v>
          </cell>
          <cell r="AL54">
            <v>0</v>
          </cell>
          <cell r="AM54" t="str">
            <v>Не рассчитывалась</v>
          </cell>
        </row>
        <row r="55">
          <cell r="A55">
            <v>79</v>
          </cell>
          <cell r="B55">
            <v>368</v>
          </cell>
          <cell r="C55" t="str">
            <v>Корпус маточник 727,2кв.м(Корпус-откорм, для свиней на 117гол(121)СТФ ЛитерН) Кад№ 23:11:0702000:793</v>
          </cell>
          <cell r="D55">
            <v>37605</v>
          </cell>
          <cell r="E55">
            <v>37605</v>
          </cell>
          <cell r="F55">
            <v>1312327</v>
          </cell>
          <cell r="G55">
            <v>4.5511713933415532</v>
          </cell>
          <cell r="H55">
            <v>5972625.1011097403</v>
          </cell>
          <cell r="I55">
            <v>13.052054794520547</v>
          </cell>
          <cell r="J55" t="str">
            <v>каменные</v>
          </cell>
          <cell r="K55">
            <v>0</v>
          </cell>
          <cell r="L55">
            <v>60</v>
          </cell>
          <cell r="M55">
            <v>0.21753424657534245</v>
          </cell>
          <cell r="N55">
            <v>0</v>
          </cell>
          <cell r="O55">
            <v>0</v>
          </cell>
          <cell r="P55">
            <v>0.21753424657534248</v>
          </cell>
          <cell r="Q55">
            <v>981512.03</v>
          </cell>
          <cell r="R55">
            <v>1349.7140126512652</v>
          </cell>
          <cell r="S55">
            <v>0</v>
          </cell>
          <cell r="T55">
            <v>4673375</v>
          </cell>
          <cell r="U55">
            <v>6426.5332783278327</v>
          </cell>
          <cell r="V55">
            <v>4.7614036885518356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  <cell r="AA55" t="str">
            <v/>
          </cell>
          <cell r="AB55" t="e">
            <v>#VALUE!</v>
          </cell>
          <cell r="AC55">
            <v>0</v>
          </cell>
          <cell r="AD55" t="str">
            <v>Не рассчитывалась</v>
          </cell>
          <cell r="AE55" t="str">
            <v>Не рассчитывалась</v>
          </cell>
          <cell r="AF55" t="e">
            <v>#VALUE!</v>
          </cell>
          <cell r="AG55">
            <v>727.2</v>
          </cell>
          <cell r="AH55" t="str">
            <v>ликвидация</v>
          </cell>
          <cell r="AI55">
            <v>0</v>
          </cell>
          <cell r="AL55">
            <v>0</v>
          </cell>
          <cell r="AM55" t="str">
            <v>Не рассчитывалась</v>
          </cell>
        </row>
        <row r="56">
          <cell r="A56">
            <v>80</v>
          </cell>
          <cell r="B56">
            <v>367</v>
          </cell>
          <cell r="C56" t="str">
            <v>Корпус маточник 770,9кв.м(Корпус-откорм, для свиней на 400гол(115)СТФЛитер М) Кад№ 23:11:0702000:762</v>
          </cell>
          <cell r="D56">
            <v>37240</v>
          </cell>
          <cell r="E56">
            <v>37240</v>
          </cell>
          <cell r="F56">
            <v>410700</v>
          </cell>
          <cell r="G56">
            <v>5.4199706314243752</v>
          </cell>
          <cell r="H56">
            <v>2225981.9383259909</v>
          </cell>
          <cell r="I56">
            <v>14.052054794520547</v>
          </cell>
          <cell r="J56" t="str">
            <v>каменные</v>
          </cell>
          <cell r="K56">
            <v>0</v>
          </cell>
          <cell r="L56">
            <v>60</v>
          </cell>
          <cell r="M56">
            <v>0.23420091324200912</v>
          </cell>
          <cell r="N56">
            <v>0</v>
          </cell>
          <cell r="O56">
            <v>0</v>
          </cell>
          <cell r="P56">
            <v>0.23420091324200909</v>
          </cell>
          <cell r="Q56">
            <v>296901.89</v>
          </cell>
          <cell r="R56">
            <v>385.13671033856536</v>
          </cell>
          <cell r="S56">
            <v>0</v>
          </cell>
          <cell r="T56">
            <v>1704655</v>
          </cell>
          <cell r="U56">
            <v>2211.2530808146325</v>
          </cell>
          <cell r="V56">
            <v>5.7414757447317024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  <cell r="AA56" t="str">
            <v/>
          </cell>
          <cell r="AB56" t="e">
            <v>#VALUE!</v>
          </cell>
          <cell r="AC56">
            <v>0</v>
          </cell>
          <cell r="AD56" t="str">
            <v>Не рассчитывалась</v>
          </cell>
          <cell r="AE56" t="str">
            <v>Не рассчитывалась</v>
          </cell>
          <cell r="AF56" t="e">
            <v>#VALUE!</v>
          </cell>
          <cell r="AG56">
            <v>770.9</v>
          </cell>
          <cell r="AH56" t="str">
            <v>ликвидация</v>
          </cell>
          <cell r="AI56">
            <v>0</v>
          </cell>
          <cell r="AL56">
            <v>0</v>
          </cell>
          <cell r="AM56" t="str">
            <v>Не рассчитывалась</v>
          </cell>
        </row>
        <row r="57">
          <cell r="A57">
            <v>82</v>
          </cell>
          <cell r="B57">
            <v>373</v>
          </cell>
          <cell r="C57" t="str">
            <v>Корпус-маточник на 68 св, маток (120) СТФ  Литер Ш,ш об.пл. 472,20 кв.м. Кад№ 23:11:0607000:1637</v>
          </cell>
          <cell r="D57">
            <v>37605</v>
          </cell>
          <cell r="E57">
            <v>37605</v>
          </cell>
          <cell r="F57">
            <v>1372297.26</v>
          </cell>
          <cell r="G57">
            <v>4.5511713933415532</v>
          </cell>
          <cell r="H57">
            <v>6245560.0328729954</v>
          </cell>
          <cell r="I57">
            <v>13.052054794520547</v>
          </cell>
          <cell r="J57" t="str">
            <v>каменные</v>
          </cell>
          <cell r="K57">
            <v>0</v>
          </cell>
          <cell r="L57">
            <v>60</v>
          </cell>
          <cell r="M57">
            <v>0.21753424657534245</v>
          </cell>
          <cell r="N57">
            <v>0</v>
          </cell>
          <cell r="O57">
            <v>0</v>
          </cell>
          <cell r="P57">
            <v>0.21753424657534248</v>
          </cell>
          <cell r="Q57">
            <v>1087583.54</v>
          </cell>
          <cell r="R57">
            <v>2303.2264718339688</v>
          </cell>
          <cell r="S57">
            <v>0</v>
          </cell>
          <cell r="T57">
            <v>4886937</v>
          </cell>
          <cell r="U57">
            <v>10349.294790343076</v>
          </cell>
          <cell r="V57">
            <v>4.4933899974249334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 t="str">
            <v/>
          </cell>
          <cell r="AB57" t="e">
            <v>#VALUE!</v>
          </cell>
          <cell r="AC57">
            <v>0</v>
          </cell>
          <cell r="AD57" t="str">
            <v>Не рассчитывалась</v>
          </cell>
          <cell r="AE57" t="str">
            <v>Не рассчитывалась</v>
          </cell>
          <cell r="AF57" t="e">
            <v>#VALUE!</v>
          </cell>
          <cell r="AG57">
            <v>472.2</v>
          </cell>
          <cell r="AH57" t="str">
            <v>ликвидация</v>
          </cell>
          <cell r="AI57">
            <v>0</v>
          </cell>
          <cell r="AL57">
            <v>0</v>
          </cell>
          <cell r="AM57" t="str">
            <v>Не рассчитывалась</v>
          </cell>
        </row>
        <row r="58">
          <cell r="A58">
            <v>83</v>
          </cell>
          <cell r="B58">
            <v>419</v>
          </cell>
          <cell r="C58" t="str">
            <v>Крытый ток бр №1 Об.S-5055,7 кв.м. Литер Д  Кад№ 23:11:0703000:519</v>
          </cell>
          <cell r="D58">
            <v>30665</v>
          </cell>
          <cell r="E58">
            <v>30665</v>
          </cell>
          <cell r="F58">
            <v>162302</v>
          </cell>
          <cell r="G58">
            <v>13.261762999999998</v>
          </cell>
          <cell r="H58">
            <v>2152410.6584259998</v>
          </cell>
          <cell r="I58">
            <v>32.065753424657537</v>
          </cell>
          <cell r="J58" t="str">
            <v>обшивка полимерным материалом</v>
          </cell>
          <cell r="K58">
            <v>0</v>
          </cell>
          <cell r="L58">
            <v>35</v>
          </cell>
          <cell r="M58">
            <v>0.8</v>
          </cell>
          <cell r="N58">
            <v>0</v>
          </cell>
          <cell r="O58">
            <v>0</v>
          </cell>
          <cell r="P58">
            <v>0.8</v>
          </cell>
          <cell r="Q58">
            <v>32460.839999999997</v>
          </cell>
          <cell r="R58">
            <v>6.4206420475898485</v>
          </cell>
          <cell r="S58" t="str">
            <v>Не соответствует</v>
          </cell>
          <cell r="T58">
            <v>430482</v>
          </cell>
          <cell r="U58">
            <v>85.147852918488041</v>
          </cell>
          <cell r="V58">
            <v>13.261579182793792</v>
          </cell>
          <cell r="W58" t="str">
            <v>Не соответствует</v>
          </cell>
          <cell r="X58" t="str">
            <v>хорошее</v>
          </cell>
          <cell r="Y58">
            <v>0.3</v>
          </cell>
          <cell r="Z58">
            <v>1506687.4608981998</v>
          </cell>
          <cell r="AA58">
            <v>298.01757637878035</v>
          </cell>
          <cell r="AB58">
            <v>46.415541338369557</v>
          </cell>
          <cell r="AC58" t="str">
            <v>Соответствует</v>
          </cell>
          <cell r="AD58" t="str">
            <v>Не рассчитывалась</v>
          </cell>
          <cell r="AE58" t="str">
            <v>Не рассчитывалась</v>
          </cell>
          <cell r="AF58" t="e">
            <v>#VALUE!</v>
          </cell>
          <cell r="AG58">
            <v>5055.7</v>
          </cell>
          <cell r="AH58" t="str">
            <v>будет использоваться</v>
          </cell>
          <cell r="AI58" t="str">
            <v>Уточнить состояние по фото</v>
          </cell>
          <cell r="AL58">
            <v>1506687.4608981998</v>
          </cell>
          <cell r="AM58" t="str">
            <v>Экспертно</v>
          </cell>
        </row>
        <row r="59">
          <cell r="A59">
            <v>84</v>
          </cell>
          <cell r="B59">
            <v>572</v>
          </cell>
          <cell r="C59" t="str">
            <v>Крытый ток Нежилое здание  (Зернохранилище бр4) Об.S-4114,3 кв.м.Литер Д Кад№ 23:11:0607000:2141</v>
          </cell>
          <cell r="D59">
            <v>37605</v>
          </cell>
          <cell r="E59">
            <v>37605</v>
          </cell>
          <cell r="F59">
            <v>5079488.5199999996</v>
          </cell>
          <cell r="G59">
            <v>4.5511713933415532</v>
          </cell>
          <cell r="H59">
            <v>23117622.845030822</v>
          </cell>
          <cell r="I59">
            <v>13.052054794520547</v>
          </cell>
          <cell r="J59" t="str">
            <v>каменные</v>
          </cell>
          <cell r="K59">
            <v>0</v>
          </cell>
          <cell r="L59">
            <v>60</v>
          </cell>
          <cell r="M59">
            <v>0.21753424657534245</v>
          </cell>
          <cell r="N59">
            <v>0</v>
          </cell>
          <cell r="O59">
            <v>0</v>
          </cell>
          <cell r="P59">
            <v>0.21753424657534248</v>
          </cell>
          <cell r="Q59">
            <v>2285769.2399999998</v>
          </cell>
          <cell r="R59">
            <v>555.56698344797405</v>
          </cell>
          <cell r="S59" t="str">
            <v>Не соответствует</v>
          </cell>
          <cell r="T59">
            <v>18088748</v>
          </cell>
          <cell r="U59">
            <v>4396.5554286269835</v>
          </cell>
          <cell r="V59">
            <v>7.9136369863827554</v>
          </cell>
          <cell r="W59" t="str">
            <v>Соответствует</v>
          </cell>
          <cell r="X59" t="str">
            <v>хорошее</v>
          </cell>
          <cell r="Y59">
            <v>0.3</v>
          </cell>
          <cell r="Z59">
            <v>16182335.991521575</v>
          </cell>
          <cell r="AA59">
            <v>3933.1930076857725</v>
          </cell>
          <cell r="AB59">
            <v>7.0796017849647743</v>
          </cell>
          <cell r="AC59" t="str">
            <v>Соответствует</v>
          </cell>
          <cell r="AD59" t="str">
            <v>Не рассчитывалась</v>
          </cell>
          <cell r="AE59" t="str">
            <v>Не рассчитывалась</v>
          </cell>
          <cell r="AF59" t="e">
            <v>#VALUE!</v>
          </cell>
          <cell r="AG59">
            <v>4114.3</v>
          </cell>
          <cell r="AH59" t="str">
            <v>будет использоваться</v>
          </cell>
          <cell r="AI59">
            <v>0</v>
          </cell>
          <cell r="AL59">
            <v>16182335.991521575</v>
          </cell>
          <cell r="AM59" t="str">
            <v>Экспертно</v>
          </cell>
        </row>
        <row r="60">
          <cell r="A60">
            <v>85</v>
          </cell>
          <cell r="B60">
            <v>1204</v>
          </cell>
          <cell r="C60" t="str">
            <v>Лесо-пилорама (Лесорама Р -635 50) Об. пл 333,3 кв.м. Литер В  Кад№ 23:11:0603070:178</v>
          </cell>
          <cell r="D60">
            <v>24821</v>
          </cell>
          <cell r="E60">
            <v>24821</v>
          </cell>
          <cell r="F60">
            <v>7000</v>
          </cell>
          <cell r="G60">
            <v>13.261762999999998</v>
          </cell>
          <cell r="H60">
            <v>92832.340999999986</v>
          </cell>
          <cell r="I60">
            <v>48.076712328767123</v>
          </cell>
          <cell r="J60" t="str">
            <v>каменные</v>
          </cell>
          <cell r="K60">
            <v>0</v>
          </cell>
          <cell r="L60">
            <v>60</v>
          </cell>
          <cell r="M60">
            <v>0.8</v>
          </cell>
          <cell r="N60">
            <v>0</v>
          </cell>
          <cell r="O60">
            <v>0</v>
          </cell>
          <cell r="P60">
            <v>0.8</v>
          </cell>
          <cell r="Q60">
            <v>0</v>
          </cell>
          <cell r="R60">
            <v>0</v>
          </cell>
          <cell r="S60">
            <v>0</v>
          </cell>
          <cell r="T60">
            <v>18566</v>
          </cell>
          <cell r="U60">
            <v>55.703570357035701</v>
          </cell>
          <cell r="V60" t="e">
            <v>#DIV/0!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 t="str">
            <v/>
          </cell>
          <cell r="AB60" t="e">
            <v>#VALUE!</v>
          </cell>
          <cell r="AC60">
            <v>0</v>
          </cell>
          <cell r="AD60" t="str">
            <v>Не рассчитывалась</v>
          </cell>
          <cell r="AE60" t="str">
            <v>Не рассчитывалась</v>
          </cell>
          <cell r="AF60" t="e">
            <v>#VALUE!</v>
          </cell>
          <cell r="AG60">
            <v>333.3</v>
          </cell>
          <cell r="AH60" t="str">
            <v>не будет использоваться</v>
          </cell>
          <cell r="AI60" t="str">
            <v>Уточнить состояние по фото</v>
          </cell>
          <cell r="AL60">
            <v>0</v>
          </cell>
          <cell r="AM60" t="str">
            <v>Не рассчитывалась</v>
          </cell>
        </row>
        <row r="61">
          <cell r="A61">
            <v>86</v>
          </cell>
          <cell r="B61">
            <v>434</v>
          </cell>
          <cell r="C61" t="str">
            <v>Мастерская  330 условных тракторов Об.S-1685,5 кв.м. Литер :А(363) МТС  Кад№ 23:11:0607000:1858</v>
          </cell>
          <cell r="D61">
            <v>32126</v>
          </cell>
          <cell r="E61">
            <v>32126</v>
          </cell>
          <cell r="F61">
            <v>1308524</v>
          </cell>
          <cell r="G61">
            <v>13.261762999999998</v>
          </cell>
          <cell r="H61">
            <v>17353335.167811997</v>
          </cell>
          <cell r="I61">
            <v>28.063013698630137</v>
          </cell>
          <cell r="J61" t="str">
            <v>кирпичные</v>
          </cell>
          <cell r="K61">
            <v>0</v>
          </cell>
          <cell r="L61">
            <v>60</v>
          </cell>
          <cell r="M61">
            <v>0.46771689497716895</v>
          </cell>
          <cell r="N61">
            <v>0</v>
          </cell>
          <cell r="O61">
            <v>0</v>
          </cell>
          <cell r="P61">
            <v>0.46771689497716895</v>
          </cell>
          <cell r="Q61">
            <v>817828.12</v>
          </cell>
          <cell r="R61">
            <v>485.21395431622665</v>
          </cell>
          <cell r="S61" t="str">
            <v>Не соответствует</v>
          </cell>
          <cell r="T61">
            <v>9236887</v>
          </cell>
          <cell r="U61">
            <v>5480.2058736280032</v>
          </cell>
          <cell r="V61">
            <v>11.294411104377287</v>
          </cell>
          <cell r="W61" t="str">
            <v>Не соответствует</v>
          </cell>
          <cell r="X61" t="str">
            <v>хорошее</v>
          </cell>
          <cell r="Y61">
            <v>0.2</v>
          </cell>
          <cell r="Z61">
            <v>13882668.134249598</v>
          </cell>
          <cell r="AA61">
            <v>8236.528112874279</v>
          </cell>
          <cell r="AB61">
            <v>16.975043771116109</v>
          </cell>
          <cell r="AC61" t="str">
            <v>Соответствует</v>
          </cell>
          <cell r="AD61" t="str">
            <v>Не рассчитывалась</v>
          </cell>
          <cell r="AE61" t="str">
            <v>Не рассчитывалась</v>
          </cell>
          <cell r="AF61" t="e">
            <v>#VALUE!</v>
          </cell>
          <cell r="AG61">
            <v>1685.5</v>
          </cell>
          <cell r="AH61" t="str">
            <v>будет использоваться</v>
          </cell>
          <cell r="AI61">
            <v>0</v>
          </cell>
          <cell r="AL61">
            <v>13882668.134249598</v>
          </cell>
          <cell r="AM61" t="str">
            <v>Экспертно</v>
          </cell>
        </row>
        <row r="62">
          <cell r="A62">
            <v>87</v>
          </cell>
          <cell r="B62">
            <v>409</v>
          </cell>
          <cell r="C62" t="str">
            <v>Навес весовой (203) МТФ№3 Об.S-261,7 кв.м.  Литер З  Кад№ 23:11:0702000:753</v>
          </cell>
          <cell r="D62">
            <v>37240</v>
          </cell>
          <cell r="E62">
            <v>37240</v>
          </cell>
          <cell r="F62">
            <v>248720</v>
          </cell>
          <cell r="G62">
            <v>5.4199706314243752</v>
          </cell>
          <cell r="H62">
            <v>1348055.0954478707</v>
          </cell>
          <cell r="I62">
            <v>14.052054794520547</v>
          </cell>
          <cell r="J62" t="str">
            <v>каменные</v>
          </cell>
          <cell r="K62">
            <v>0</v>
          </cell>
          <cell r="L62">
            <v>60</v>
          </cell>
          <cell r="M62">
            <v>0.23420091324200912</v>
          </cell>
          <cell r="N62">
            <v>0</v>
          </cell>
          <cell r="O62">
            <v>0</v>
          </cell>
          <cell r="P62">
            <v>0.23420091324200909</v>
          </cell>
          <cell r="Q62">
            <v>123156.8</v>
          </cell>
          <cell r="R62">
            <v>68.174259618045951</v>
          </cell>
          <cell r="S62" t="str">
            <v>Не соответствует</v>
          </cell>
          <cell r="T62">
            <v>1032339</v>
          </cell>
          <cell r="U62">
            <v>571.45806808746192</v>
          </cell>
          <cell r="V62">
            <v>8.3823142530497705</v>
          </cell>
          <cell r="W62" t="str">
            <v>Соответствует</v>
          </cell>
          <cell r="X62" t="str">
            <v>хорошее</v>
          </cell>
          <cell r="Y62">
            <v>0.25</v>
          </cell>
          <cell r="Z62">
            <v>1011041.3215859029</v>
          </cell>
          <cell r="AA62">
            <v>559.66859761190312</v>
          </cell>
          <cell r="AB62">
            <v>8.2093828484168387</v>
          </cell>
          <cell r="AC62" t="str">
            <v>Соответствует</v>
          </cell>
          <cell r="AD62" t="str">
            <v>Не рассчитывалась</v>
          </cell>
          <cell r="AE62" t="str">
            <v>Не рассчитывалась</v>
          </cell>
          <cell r="AF62" t="e">
            <v>#VALUE!</v>
          </cell>
          <cell r="AG62">
            <v>1806.5</v>
          </cell>
          <cell r="AH62" t="str">
            <v>будет использоваться</v>
          </cell>
          <cell r="AI62" t="str">
            <v>Уточнить состояние по фото</v>
          </cell>
          <cell r="AL62">
            <v>1011041.3215859029</v>
          </cell>
          <cell r="AM62" t="str">
            <v>Экспертно</v>
          </cell>
        </row>
        <row r="63">
          <cell r="A63">
            <v>88</v>
          </cell>
          <cell r="B63">
            <v>421</v>
          </cell>
          <cell r="C63" t="str">
            <v>Навес для хранения сельскохозяйственной техники бр2 Об.S-1657,5 кв.м  Литер В Кад№ 23:11:0702000:809</v>
          </cell>
          <cell r="D63">
            <v>33222</v>
          </cell>
          <cell r="E63">
            <v>33222</v>
          </cell>
          <cell r="F63">
            <v>5822870.9900000002</v>
          </cell>
          <cell r="G63">
            <v>13.261762999999998</v>
          </cell>
          <cell r="H63">
            <v>77221535.048955366</v>
          </cell>
          <cell r="I63">
            <v>25.06027397260274</v>
          </cell>
          <cell r="J63" t="str">
            <v>металлические</v>
          </cell>
          <cell r="K63">
            <v>0</v>
          </cell>
          <cell r="L63">
            <v>12</v>
          </cell>
          <cell r="M63">
            <v>0.8</v>
          </cell>
          <cell r="N63">
            <v>0</v>
          </cell>
          <cell r="O63">
            <v>0</v>
          </cell>
          <cell r="P63">
            <v>0.8</v>
          </cell>
          <cell r="Q63">
            <v>0</v>
          </cell>
          <cell r="R63">
            <v>0</v>
          </cell>
          <cell r="S63" t="str">
            <v>Не соответствует</v>
          </cell>
          <cell r="T63">
            <v>15444307</v>
          </cell>
          <cell r="U63">
            <v>9317.832277526395</v>
          </cell>
          <cell r="V63" t="e">
            <v>#DIV/0!</v>
          </cell>
          <cell r="W63" t="str">
            <v>Соответствует</v>
          </cell>
          <cell r="X63" t="str">
            <v>отличное</v>
          </cell>
          <cell r="Y63">
            <v>0.1</v>
          </cell>
          <cell r="Z63">
            <v>69499381.544059828</v>
          </cell>
          <cell r="AA63">
            <v>41930.245275450878</v>
          </cell>
          <cell r="AB63" t="e">
            <v>#DIV/0!</v>
          </cell>
          <cell r="AC63" t="str">
            <v>Не соответствует</v>
          </cell>
          <cell r="AD63">
            <v>3477290</v>
          </cell>
          <cell r="AE63">
            <v>2097.9125188536955</v>
          </cell>
          <cell r="AF63" t="e">
            <v>#DIV/0!</v>
          </cell>
          <cell r="AG63">
            <v>1657.5</v>
          </cell>
          <cell r="AH63" t="str">
            <v>будет использоваться</v>
          </cell>
          <cell r="AI63" t="str">
            <v>Уточнить состояние по фото</v>
          </cell>
          <cell r="AL63">
            <v>3477290</v>
          </cell>
          <cell r="AM63" t="str">
            <v>Ко-Инвест</v>
          </cell>
        </row>
        <row r="64">
          <cell r="A64">
            <v>89</v>
          </cell>
          <cell r="B64" t="str">
            <v>Ц00002244</v>
          </cell>
          <cell r="C64" t="str">
            <v>Навозохранилище с подъездом Об.пл. 8310,6кв.м. ЛитерГ3 Кад№ 23:24:0701000:754  (НП  МТФ№3)</v>
          </cell>
          <cell r="D64">
            <v>41934</v>
          </cell>
          <cell r="E64">
            <v>41934</v>
          </cell>
          <cell r="F64">
            <v>228419.44</v>
          </cell>
          <cell r="G64">
            <v>0.98663458968190321</v>
          </cell>
          <cell r="H64">
            <v>225366.52045977011</v>
          </cell>
          <cell r="I64">
            <v>1.1917808219178083</v>
          </cell>
          <cell r="J64" t="str">
            <v>бетон</v>
          </cell>
          <cell r="K64">
            <v>0</v>
          </cell>
          <cell r="L64">
            <v>50</v>
          </cell>
          <cell r="M64">
            <v>2.3835616438356168E-2</v>
          </cell>
          <cell r="N64">
            <v>0</v>
          </cell>
          <cell r="O64">
            <v>0</v>
          </cell>
          <cell r="P64">
            <v>2.3835616438356189E-2</v>
          </cell>
          <cell r="Q64">
            <v>141990.44</v>
          </cell>
          <cell r="R64">
            <v>17.085461940172792</v>
          </cell>
          <cell r="S64" t="str">
            <v>Соответствует</v>
          </cell>
          <cell r="T64">
            <v>219995</v>
          </cell>
          <cell r="U64">
            <v>26.471614564532043</v>
          </cell>
          <cell r="V64">
            <v>1.5493648727336855</v>
          </cell>
          <cell r="W64" t="str">
            <v>Соответствует</v>
          </cell>
          <cell r="X64">
            <v>0</v>
          </cell>
          <cell r="Y64">
            <v>0</v>
          </cell>
          <cell r="Z64" t="str">
            <v/>
          </cell>
          <cell r="AA64" t="str">
            <v/>
          </cell>
          <cell r="AB64" t="e">
            <v>#VALUE!</v>
          </cell>
          <cell r="AC64" t="str">
            <v>Не рассчитывалась</v>
          </cell>
          <cell r="AD64" t="str">
            <v>Не рассчитывалась</v>
          </cell>
          <cell r="AE64" t="str">
            <v>Не рассчитывалась</v>
          </cell>
          <cell r="AF64" t="e">
            <v>#VALUE!</v>
          </cell>
          <cell r="AG64">
            <v>8310.6</v>
          </cell>
          <cell r="AH64">
            <v>0</v>
          </cell>
          <cell r="AI64" t="str">
            <v>Уточнить состояние по фото</v>
          </cell>
          <cell r="AJ6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64">
            <v>219995</v>
          </cell>
          <cell r="AM64" t="str">
            <v>По сроку службы</v>
          </cell>
        </row>
        <row r="65">
          <cell r="A65">
            <v>90</v>
          </cell>
          <cell r="B65">
            <v>520</v>
          </cell>
          <cell r="C65" t="str">
            <v>Нежилое здание  Об.пл. 230 кв.м. Кад № 23:11:0702000:888</v>
          </cell>
          <cell r="D65">
            <v>22995</v>
          </cell>
          <cell r="E65">
            <v>22995</v>
          </cell>
          <cell r="F65">
            <v>19890</v>
          </cell>
          <cell r="G65">
            <v>13.261762999999998</v>
          </cell>
          <cell r="H65">
            <v>263776.46606999997</v>
          </cell>
          <cell r="I65">
            <v>53.079452054794523</v>
          </cell>
          <cell r="J65" t="str">
            <v>кирпичные</v>
          </cell>
          <cell r="K65">
            <v>0</v>
          </cell>
          <cell r="L65">
            <v>60</v>
          </cell>
          <cell r="M65">
            <v>0.8</v>
          </cell>
          <cell r="N65">
            <v>0</v>
          </cell>
          <cell r="O65">
            <v>0</v>
          </cell>
          <cell r="P65">
            <v>0.8</v>
          </cell>
          <cell r="Q65">
            <v>0</v>
          </cell>
          <cell r="R65">
            <v>0</v>
          </cell>
          <cell r="S65">
            <v>0</v>
          </cell>
          <cell r="T65">
            <v>52755</v>
          </cell>
          <cell r="U65">
            <v>229.36956521739131</v>
          </cell>
          <cell r="V65" t="e">
            <v>#DIV/0!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  <cell r="AA65" t="str">
            <v/>
          </cell>
          <cell r="AB65" t="e">
            <v>#VALUE!</v>
          </cell>
          <cell r="AC65">
            <v>0</v>
          </cell>
          <cell r="AD65" t="str">
            <v>Не рассчитывалась</v>
          </cell>
          <cell r="AE65" t="str">
            <v>Не рассчитывалась</v>
          </cell>
          <cell r="AF65" t="e">
            <v>#VALUE!</v>
          </cell>
          <cell r="AG65">
            <v>230</v>
          </cell>
          <cell r="AH65" t="str">
            <v>не будет использоваться</v>
          </cell>
          <cell r="AI65" t="str">
            <v>Уточнить состояние по фото</v>
          </cell>
          <cell r="AL65">
            <v>0</v>
          </cell>
          <cell r="AM65" t="str">
            <v>Не рассчитывалась</v>
          </cell>
        </row>
        <row r="66">
          <cell r="A66">
            <v>91</v>
          </cell>
          <cell r="B66" t="str">
            <v>Ц00002236</v>
          </cell>
          <cell r="C66" t="str">
            <v>Нежилое здание  Об.пл.3327,4кв.м.(Молочный блок) Кад№ 23:24:0701000:793   (НП  МТФ№3)</v>
          </cell>
          <cell r="D66">
            <v>41934</v>
          </cell>
          <cell r="E66">
            <v>41934</v>
          </cell>
          <cell r="F66">
            <v>777551.55</v>
          </cell>
          <cell r="G66">
            <v>0.98663458968190321</v>
          </cell>
          <cell r="H66">
            <v>767159.25449077785</v>
          </cell>
          <cell r="I66">
            <v>1.1917808219178083</v>
          </cell>
          <cell r="J66" t="str">
            <v>кирпичные</v>
          </cell>
          <cell r="K66">
            <v>0</v>
          </cell>
          <cell r="L66">
            <v>60</v>
          </cell>
          <cell r="M66">
            <v>1.9863013698630139E-2</v>
          </cell>
          <cell r="N66">
            <v>0</v>
          </cell>
          <cell r="O66">
            <v>0</v>
          </cell>
          <cell r="P66">
            <v>1.9863013698630194E-2</v>
          </cell>
          <cell r="Q66">
            <v>599097.05000000005</v>
          </cell>
          <cell r="R66">
            <v>180.04960329386307</v>
          </cell>
          <cell r="S66" t="str">
            <v>Соответствует</v>
          </cell>
          <cell r="T66">
            <v>751921</v>
          </cell>
          <cell r="U66">
            <v>225.97854180441183</v>
          </cell>
          <cell r="V66">
            <v>1.255090473238017</v>
          </cell>
          <cell r="W66" t="str">
            <v>Соответствует</v>
          </cell>
          <cell r="X66" t="str">
            <v>неудовлетворительное</v>
          </cell>
          <cell r="Y66">
            <v>0.75</v>
          </cell>
          <cell r="Z66">
            <v>191789.81362269446</v>
          </cell>
          <cell r="AA66">
            <v>57.639542472409225</v>
          </cell>
          <cell r="AB66">
            <v>0.32013146054165087</v>
          </cell>
          <cell r="AC66" t="str">
            <v>Не соответствует</v>
          </cell>
          <cell r="AD66" t="str">
            <v>Не рассчитывалась</v>
          </cell>
          <cell r="AE66" t="str">
            <v>Не рассчитывалась</v>
          </cell>
          <cell r="AF66" t="e">
            <v>#VALUE!</v>
          </cell>
          <cell r="AG66">
            <v>3327.4</v>
          </cell>
          <cell r="AH66">
            <v>0</v>
          </cell>
          <cell r="AI66" t="str">
            <v>Уточнить состояние по фото</v>
          </cell>
          <cell r="AL66">
            <v>751921</v>
          </cell>
          <cell r="AM66" t="str">
            <v>По сроку службы</v>
          </cell>
        </row>
        <row r="67">
          <cell r="A67">
            <v>92</v>
          </cell>
          <cell r="B67" t="str">
            <v>Ц00001724</v>
          </cell>
          <cell r="C67" t="str">
            <v>Нежилое здание  Об.пл.90кв.м.(мехток№1) Кад№ 23:11:0902000:273 Литер Б (КС  МТФ№1мельница)</v>
          </cell>
          <cell r="D67">
            <v>41929</v>
          </cell>
          <cell r="E67">
            <v>41929</v>
          </cell>
          <cell r="F67">
            <v>5193.13</v>
          </cell>
          <cell r="G67">
            <v>0.98663458968190321</v>
          </cell>
          <cell r="H67">
            <v>5123.7216867147818</v>
          </cell>
          <cell r="I67">
            <v>1.2054794520547945</v>
          </cell>
          <cell r="J67" t="str">
            <v>металлические</v>
          </cell>
          <cell r="K67">
            <v>0</v>
          </cell>
          <cell r="L67">
            <v>35</v>
          </cell>
          <cell r="M67">
            <v>3.444227005870841E-2</v>
          </cell>
          <cell r="N67">
            <v>0</v>
          </cell>
          <cell r="O67">
            <v>0</v>
          </cell>
          <cell r="P67">
            <v>3.4442270058708369E-2</v>
          </cell>
          <cell r="Q67">
            <v>4592.25</v>
          </cell>
          <cell r="R67">
            <v>51.024999999999999</v>
          </cell>
          <cell r="S67" t="str">
            <v>Соответствует</v>
          </cell>
          <cell r="T67">
            <v>4947</v>
          </cell>
          <cell r="U67">
            <v>54.966666666666669</v>
          </cell>
          <cell r="V67">
            <v>1.0772497141923894</v>
          </cell>
          <cell r="W67" t="str">
            <v>Соответствует</v>
          </cell>
          <cell r="X67" t="str">
            <v>отличное</v>
          </cell>
          <cell r="Y67">
            <v>0.05</v>
          </cell>
          <cell r="Z67">
            <v>4867.5356023790428</v>
          </cell>
          <cell r="AA67">
            <v>54.083728915322695</v>
          </cell>
          <cell r="AB67">
            <v>1.0599456916280783</v>
          </cell>
          <cell r="AC67" t="str">
            <v>Соответствует</v>
          </cell>
          <cell r="AD67" t="str">
            <v>Не рассчитывалась</v>
          </cell>
          <cell r="AE67" t="str">
            <v>Не рассчитывалась</v>
          </cell>
          <cell r="AF67" t="e">
            <v>#VALUE!</v>
          </cell>
          <cell r="AG67">
            <v>90</v>
          </cell>
          <cell r="AH67">
            <v>0</v>
          </cell>
          <cell r="AI67" t="str">
            <v>Уточнить состояние по фото</v>
          </cell>
          <cell r="AJ67" t="str">
            <v>Чем обусловлена столь низкая балансовая стоимость 5,2 тыс. руб. за металлический объект площадью 90 кв. м?</v>
          </cell>
          <cell r="AK67">
            <v>1</v>
          </cell>
          <cell r="AL67">
            <v>4867.5356023790428</v>
          </cell>
          <cell r="AM67" t="str">
            <v>Экспертно</v>
          </cell>
        </row>
        <row r="68">
          <cell r="A68">
            <v>100</v>
          </cell>
          <cell r="B68">
            <v>403</v>
          </cell>
          <cell r="C68" t="str">
            <v>Нежилое здание об.S-16.1кв.м. (Навес весовой (382) бр4  Литер В,в) Кад№ 23:11:0702000:865</v>
          </cell>
          <cell r="D68">
            <v>31412</v>
          </cell>
          <cell r="E68">
            <v>31412</v>
          </cell>
          <cell r="F68">
            <v>959297.46</v>
          </cell>
          <cell r="G68">
            <v>13.261762999999998</v>
          </cell>
          <cell r="H68">
            <v>12721975.561021978</v>
          </cell>
          <cell r="I68">
            <v>30.019178082191782</v>
          </cell>
          <cell r="J68" t="str">
            <v>каменные</v>
          </cell>
          <cell r="K68">
            <v>0</v>
          </cell>
          <cell r="L68">
            <v>60</v>
          </cell>
          <cell r="M68">
            <v>0.5003196347031964</v>
          </cell>
          <cell r="N68">
            <v>0</v>
          </cell>
          <cell r="O68">
            <v>0</v>
          </cell>
          <cell r="P68">
            <v>0.5003196347031964</v>
          </cell>
          <cell r="Q68">
            <v>315379.17999999993</v>
          </cell>
          <cell r="R68">
            <v>19588.768944099374</v>
          </cell>
          <cell r="S68" t="str">
            <v>Соответствует</v>
          </cell>
          <cell r="T68">
            <v>6356921</v>
          </cell>
          <cell r="U68">
            <v>394839.81366459624</v>
          </cell>
          <cell r="V68">
            <v>20.156438354618086</v>
          </cell>
          <cell r="W68" t="str">
            <v>Соответствует</v>
          </cell>
          <cell r="X68" t="str">
            <v>хорошее</v>
          </cell>
          <cell r="Y68">
            <v>0.35</v>
          </cell>
          <cell r="Z68">
            <v>8269284.1146642864</v>
          </cell>
          <cell r="AA68">
            <v>513620.13134560781</v>
          </cell>
          <cell r="AB68">
            <v>26.220133220792469</v>
          </cell>
          <cell r="AC68" t="str">
            <v>Не соответствует</v>
          </cell>
          <cell r="AD68" t="str">
            <v>Не рассчитывалась</v>
          </cell>
          <cell r="AE68" t="str">
            <v>Не рассчитывалась</v>
          </cell>
          <cell r="AF68" t="e">
            <v>#VALUE!</v>
          </cell>
          <cell r="AG68">
            <v>16.100000000000001</v>
          </cell>
          <cell r="AH68" t="str">
            <v>будет использоваться</v>
          </cell>
          <cell r="AI68" t="str">
            <v>Возможно с оборудованием? Уточнить состояние по фото</v>
          </cell>
          <cell r="AJ68" t="str">
            <v>Площадь навеса существенно больше 16 кв. м. Установлено 2 автовесов.</v>
          </cell>
          <cell r="AL68">
            <v>6356921</v>
          </cell>
          <cell r="AM68" t="str">
            <v>По сроку службы</v>
          </cell>
        </row>
        <row r="69">
          <cell r="A69">
            <v>101</v>
          </cell>
          <cell r="B69">
            <v>422</v>
          </cell>
          <cell r="C69" t="str">
            <v>Нежилое здание об.S-207,7кв.м. (Пункт тех. обслуживан. (272) бр2   Литер Л) Кад№ 23:11:0702000:811</v>
          </cell>
          <cell r="D69">
            <v>29935</v>
          </cell>
          <cell r="E69">
            <v>29935</v>
          </cell>
          <cell r="F69">
            <v>114101</v>
          </cell>
          <cell r="G69">
            <v>13.261762999999998</v>
          </cell>
          <cell r="H69">
            <v>1513180.4200629997</v>
          </cell>
          <cell r="I69">
            <v>34.065753424657537</v>
          </cell>
          <cell r="J69" t="str">
            <v>каменные</v>
          </cell>
          <cell r="K69">
            <v>0</v>
          </cell>
          <cell r="L69">
            <v>60</v>
          </cell>
          <cell r="M69">
            <v>0.56776255707762557</v>
          </cell>
          <cell r="N69">
            <v>0</v>
          </cell>
          <cell r="O69">
            <v>0</v>
          </cell>
          <cell r="P69">
            <v>0.56776255707762557</v>
          </cell>
          <cell r="Q69">
            <v>0</v>
          </cell>
          <cell r="R69">
            <v>0</v>
          </cell>
          <cell r="S69" t="str">
            <v>Не соответствует</v>
          </cell>
          <cell r="T69">
            <v>654053</v>
          </cell>
          <cell r="U69">
            <v>3149.0274434280213</v>
          </cell>
          <cell r="V69" t="e">
            <v>#DIV/0!</v>
          </cell>
          <cell r="W69" t="str">
            <v>Не соответствует</v>
          </cell>
          <cell r="X69" t="str">
            <v>хорошее</v>
          </cell>
          <cell r="Y69">
            <v>0.2</v>
          </cell>
          <cell r="Z69">
            <v>1210544.3360503998</v>
          </cell>
          <cell r="AA69">
            <v>5828.3309390967734</v>
          </cell>
          <cell r="AB69" t="e">
            <v>#DIV/0!</v>
          </cell>
          <cell r="AC69" t="str">
            <v>Соответствует</v>
          </cell>
          <cell r="AD69" t="str">
            <v>Не рассчитывалась</v>
          </cell>
          <cell r="AE69" t="str">
            <v>Не рассчитывалась</v>
          </cell>
          <cell r="AF69" t="e">
            <v>#VALUE!</v>
          </cell>
          <cell r="AG69">
            <v>207.7</v>
          </cell>
          <cell r="AH69" t="str">
            <v>будет использоваться</v>
          </cell>
          <cell r="AI69">
            <v>0</v>
          </cell>
          <cell r="AL69">
            <v>1210544.3360503998</v>
          </cell>
          <cell r="AM69" t="str">
            <v>Экспертно</v>
          </cell>
        </row>
        <row r="70">
          <cell r="A70">
            <v>102</v>
          </cell>
          <cell r="B70">
            <v>310</v>
          </cell>
          <cell r="C70" t="str">
            <v>Нежилое здание об.S-2506,7кв.м. (Мехптичник для содержания кур(134)  Литер Б) Кад№ 23:11:0702000:869</v>
          </cell>
          <cell r="D70">
            <v>37605</v>
          </cell>
          <cell r="E70">
            <v>37605</v>
          </cell>
          <cell r="F70">
            <v>475668.66</v>
          </cell>
          <cell r="G70">
            <v>4.5511713933415532</v>
          </cell>
          <cell r="H70">
            <v>2164849.5981011093</v>
          </cell>
          <cell r="I70">
            <v>13.052054794520547</v>
          </cell>
          <cell r="J70" t="str">
            <v>каменные</v>
          </cell>
          <cell r="K70">
            <v>0</v>
          </cell>
          <cell r="L70">
            <v>60</v>
          </cell>
          <cell r="M70">
            <v>0.21753424657534245</v>
          </cell>
          <cell r="N70">
            <v>0</v>
          </cell>
          <cell r="O70">
            <v>0</v>
          </cell>
          <cell r="P70">
            <v>0.21753424657534248</v>
          </cell>
          <cell r="Q70">
            <v>392426.86</v>
          </cell>
          <cell r="R70">
            <v>220.19238020424194</v>
          </cell>
          <cell r="S70">
            <v>0</v>
          </cell>
          <cell r="T70">
            <v>1693921</v>
          </cell>
          <cell r="U70">
            <v>950.46627763438448</v>
          </cell>
          <cell r="V70">
            <v>4.3165266516160488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  <cell r="AA70" t="str">
            <v/>
          </cell>
          <cell r="AB70" t="e">
            <v>#VALUE!</v>
          </cell>
          <cell r="AC70">
            <v>0</v>
          </cell>
          <cell r="AD70" t="str">
            <v>Не рассчитывалась</v>
          </cell>
          <cell r="AE70" t="str">
            <v>Не рассчитывалась</v>
          </cell>
          <cell r="AF70" t="e">
            <v>#VALUE!</v>
          </cell>
          <cell r="AG70">
            <v>1782.2</v>
          </cell>
          <cell r="AH70" t="str">
            <v>не будет использоваться</v>
          </cell>
          <cell r="AI70" t="str">
            <v>Уточнить состояние по фото</v>
          </cell>
          <cell r="AL70">
            <v>0</v>
          </cell>
          <cell r="AM70" t="str">
            <v>Не рассчитывалась</v>
          </cell>
        </row>
        <row r="71">
          <cell r="A71">
            <v>104</v>
          </cell>
          <cell r="B71">
            <v>699</v>
          </cell>
          <cell r="C71" t="str">
            <v>Нежилое здание об.S-625,3кв.м. (Кормоцех 40т/час (201)  Литер В)  Кад№ 23:11:0702000:880</v>
          </cell>
          <cell r="D71">
            <v>32857</v>
          </cell>
          <cell r="E71">
            <v>32857</v>
          </cell>
          <cell r="F71">
            <v>1966496.8</v>
          </cell>
          <cell r="G71">
            <v>13.261762999999998</v>
          </cell>
          <cell r="H71">
            <v>26079214.501858398</v>
          </cell>
          <cell r="I71">
            <v>26.06027397260274</v>
          </cell>
          <cell r="J71" t="str">
            <v>кирпичные</v>
          </cell>
          <cell r="K71">
            <v>0</v>
          </cell>
          <cell r="L71">
            <v>60</v>
          </cell>
          <cell r="M71">
            <v>0.43433789954337898</v>
          </cell>
          <cell r="N71">
            <v>0</v>
          </cell>
          <cell r="O71">
            <v>0</v>
          </cell>
          <cell r="P71">
            <v>0.43433789954337898</v>
          </cell>
          <cell r="Q71">
            <v>641272.60000000009</v>
          </cell>
          <cell r="R71">
            <v>1025.5438989285146</v>
          </cell>
          <cell r="S71" t="str">
            <v>Не соответствует</v>
          </cell>
          <cell r="T71">
            <v>14752023</v>
          </cell>
          <cell r="U71">
            <v>23591.912681912683</v>
          </cell>
          <cell r="V71">
            <v>23.004293337965784</v>
          </cell>
          <cell r="W71" t="str">
            <v>Соответствует</v>
          </cell>
          <cell r="X71" t="str">
            <v>хорошее</v>
          </cell>
          <cell r="Y71">
            <v>0.4</v>
          </cell>
          <cell r="Z71">
            <v>15647528.701115038</v>
          </cell>
          <cell r="AA71">
            <v>25024.03438527913</v>
          </cell>
          <cell r="AB71">
            <v>24.400744240616294</v>
          </cell>
          <cell r="AC71" t="str">
            <v>Соответствует</v>
          </cell>
          <cell r="AD71" t="str">
            <v>Не рассчитывалась</v>
          </cell>
          <cell r="AE71" t="str">
            <v>Не рассчитывалась</v>
          </cell>
          <cell r="AF71" t="e">
            <v>#VALUE!</v>
          </cell>
          <cell r="AG71">
            <v>625.29999999999995</v>
          </cell>
          <cell r="AH71" t="str">
            <v>будет использоваться</v>
          </cell>
          <cell r="AI71" t="str">
            <v>Возможно с оборудованием? Уточнить состояние по фото</v>
          </cell>
          <cell r="AJ71" t="str">
            <v>С оборудованием</v>
          </cell>
          <cell r="AL71">
            <v>14752023</v>
          </cell>
          <cell r="AM71" t="str">
            <v>По сроку службы</v>
          </cell>
        </row>
        <row r="72">
          <cell r="A72">
            <v>107</v>
          </cell>
          <cell r="B72" t="str">
            <v>Ц00003486</v>
          </cell>
          <cell r="C72" t="str">
            <v>Нежилое здание Об.пл. 1011,5 кв.м. Литер Д Кад№ 23:24:0701000:691 (Здание зернохранилища) (НП ФС)</v>
          </cell>
          <cell r="D72">
            <v>41974</v>
          </cell>
          <cell r="E72">
            <v>41974</v>
          </cell>
          <cell r="F72">
            <v>350615.35</v>
          </cell>
          <cell r="G72">
            <v>0.98663458968190321</v>
          </cell>
          <cell r="H72">
            <v>345929.23198342684</v>
          </cell>
          <cell r="I72">
            <v>1.0821917808219179</v>
          </cell>
          <cell r="J72" t="str">
            <v>монолитный бетон</v>
          </cell>
          <cell r="K72">
            <v>0</v>
          </cell>
          <cell r="L72">
            <v>50</v>
          </cell>
          <cell r="M72">
            <v>2.1643835616438359E-2</v>
          </cell>
          <cell r="N72">
            <v>0</v>
          </cell>
          <cell r="O72">
            <v>0</v>
          </cell>
          <cell r="P72">
            <v>2.1643835616438345E-2</v>
          </cell>
          <cell r="Q72">
            <v>315843.55</v>
          </cell>
          <cell r="R72">
            <v>312.25264458724666</v>
          </cell>
          <cell r="S72" t="str">
            <v>Соответствует</v>
          </cell>
          <cell r="T72">
            <v>338442</v>
          </cell>
          <cell r="U72">
            <v>334.59416707859617</v>
          </cell>
          <cell r="V72">
            <v>1.0715495060766635</v>
          </cell>
          <cell r="W72" t="str">
            <v>Соответствует</v>
          </cell>
          <cell r="X72" t="str">
            <v>хорошее</v>
          </cell>
          <cell r="Y72">
            <v>0.4</v>
          </cell>
          <cell r="Z72">
            <v>207557.53919005609</v>
          </cell>
          <cell r="AA72">
            <v>205.19776489377765</v>
          </cell>
          <cell r="AB72">
            <v>0.65715300879203042</v>
          </cell>
          <cell r="AC72" t="str">
            <v>Соответствует</v>
          </cell>
          <cell r="AD72" t="str">
            <v>Не рассчитывалась</v>
          </cell>
          <cell r="AE72" t="str">
            <v>Не рассчитывалась</v>
          </cell>
          <cell r="AF72" t="e">
            <v>#VALUE!</v>
          </cell>
          <cell r="AG72">
            <v>1011.5</v>
          </cell>
          <cell r="AH72">
            <v>0</v>
          </cell>
          <cell r="AI72" t="str">
            <v>Уточнить состояние по фото</v>
          </cell>
          <cell r="AJ72" t="str">
            <v>Чем обусловлена столь низкая балансовая стоимость 350 тыс. руб. за бетонный объект площадью 1011 кв. м?</v>
          </cell>
          <cell r="AK72">
            <v>1</v>
          </cell>
          <cell r="AL72">
            <v>338442</v>
          </cell>
          <cell r="AM72" t="str">
            <v>По сроку службы</v>
          </cell>
        </row>
        <row r="73">
          <cell r="A73">
            <v>108</v>
          </cell>
          <cell r="B73" t="str">
            <v>Ц00003294</v>
          </cell>
          <cell r="C73" t="str">
            <v>Нежилое здание Об.пл. 1080,8 кв.м. Литер Е Кад№ 23:24:0701000:672 (Здание зерносклада) (НП ФС)</v>
          </cell>
          <cell r="D73">
            <v>41974</v>
          </cell>
          <cell r="E73">
            <v>41974</v>
          </cell>
          <cell r="F73">
            <v>362339.36</v>
          </cell>
          <cell r="G73">
            <v>0.98663458968190321</v>
          </cell>
          <cell r="H73">
            <v>357496.54577920341</v>
          </cell>
          <cell r="I73">
            <v>1.0821917808219179</v>
          </cell>
          <cell r="J73" t="str">
            <v>бетонные плиты</v>
          </cell>
          <cell r="K73">
            <v>0</v>
          </cell>
          <cell r="L73">
            <v>50</v>
          </cell>
          <cell r="M73">
            <v>2.1643835616438359E-2</v>
          </cell>
          <cell r="N73">
            <v>0</v>
          </cell>
          <cell r="O73">
            <v>0</v>
          </cell>
          <cell r="P73">
            <v>2.1643835616438345E-2</v>
          </cell>
          <cell r="Q73">
            <v>27872.239999999991</v>
          </cell>
          <cell r="R73">
            <v>25.788527017024418</v>
          </cell>
          <cell r="S73" t="str">
            <v>Не соответствует</v>
          </cell>
          <cell r="T73">
            <v>349759</v>
          </cell>
          <cell r="U73">
            <v>323.61121391561807</v>
          </cell>
          <cell r="V73">
            <v>12.54865055696995</v>
          </cell>
          <cell r="W73" t="str">
            <v>Соответствует</v>
          </cell>
          <cell r="X73">
            <v>0</v>
          </cell>
          <cell r="Y73">
            <v>0</v>
          </cell>
          <cell r="Z73" t="str">
            <v/>
          </cell>
          <cell r="AA73" t="str">
            <v/>
          </cell>
          <cell r="AB73" t="e">
            <v>#VALUE!</v>
          </cell>
          <cell r="AC73" t="str">
            <v>Не рассчитывалась</v>
          </cell>
          <cell r="AD73" t="str">
            <v>Не рассчитывалась</v>
          </cell>
          <cell r="AE73" t="str">
            <v>Не рассчитывалась</v>
          </cell>
          <cell r="AF73" t="e">
            <v>#VALUE!</v>
          </cell>
          <cell r="AG73">
            <v>1080.8</v>
          </cell>
          <cell r="AH73" t="str">
            <v>будет использоваться</v>
          </cell>
          <cell r="AI73" t="str">
            <v>Уточнить состояние по фото</v>
          </cell>
          <cell r="AJ73" t="str">
            <v>Фото не предоставлено. Чем обусловлена столь низкая балансовая стоимость 362 тыс. руб. за бетонный объект площадью 1080 кв. м?</v>
          </cell>
          <cell r="AK73">
            <v>1</v>
          </cell>
          <cell r="AL73">
            <v>349759</v>
          </cell>
          <cell r="AM73" t="str">
            <v>По сроку службы</v>
          </cell>
        </row>
        <row r="74">
          <cell r="A74">
            <v>120</v>
          </cell>
          <cell r="B74" t="str">
            <v>Ц00003490</v>
          </cell>
          <cell r="C74" t="str">
            <v>Нежилое здание Об.пл. 154,8 кв.м.  Кад№ 23:24:0701000:667 Литер Ж (Коптильный цех) (НП ФС)</v>
          </cell>
          <cell r="D74">
            <v>41974</v>
          </cell>
          <cell r="E74">
            <v>41974</v>
          </cell>
          <cell r="F74">
            <v>139531.53</v>
          </cell>
          <cell r="G74">
            <v>0.98663458968190321</v>
          </cell>
          <cell r="H74">
            <v>137666.63384923816</v>
          </cell>
          <cell r="I74">
            <v>1.0821917808219179</v>
          </cell>
          <cell r="J74" t="str">
            <v>шлакоблоки</v>
          </cell>
          <cell r="K74">
            <v>0</v>
          </cell>
          <cell r="L74">
            <v>60</v>
          </cell>
          <cell r="M74">
            <v>1.8036529680365298E-2</v>
          </cell>
          <cell r="N74">
            <v>0</v>
          </cell>
          <cell r="O74">
            <v>0</v>
          </cell>
          <cell r="P74">
            <v>1.8036529680365287E-2</v>
          </cell>
          <cell r="Q74">
            <v>119832.93</v>
          </cell>
          <cell r="R74">
            <v>774.11453488372081</v>
          </cell>
          <cell r="S74" t="str">
            <v>Соответствует</v>
          </cell>
          <cell r="T74">
            <v>135184</v>
          </cell>
          <cell r="U74">
            <v>873.28165374676996</v>
          </cell>
          <cell r="V74">
            <v>1.1281039360382827</v>
          </cell>
          <cell r="W74" t="str">
            <v>Соответствует</v>
          </cell>
          <cell r="X74" t="str">
            <v>отличное</v>
          </cell>
          <cell r="Y74">
            <v>0.1</v>
          </cell>
          <cell r="Z74">
            <v>123899.97046431435</v>
          </cell>
          <cell r="AA74">
            <v>800.38740610022182</v>
          </cell>
          <cell r="AB74">
            <v>1.0339392557981713</v>
          </cell>
          <cell r="AC74" t="str">
            <v>Соответствует</v>
          </cell>
          <cell r="AD74" t="str">
            <v>Не рассчитывалась</v>
          </cell>
          <cell r="AE74" t="str">
            <v>Не рассчитывалась</v>
          </cell>
          <cell r="AF74" t="e">
            <v>#VALUE!</v>
          </cell>
          <cell r="AG74">
            <v>154.80000000000001</v>
          </cell>
          <cell r="AH74">
            <v>0</v>
          </cell>
          <cell r="AI74" t="str">
            <v>Уточнить состояние по фото</v>
          </cell>
          <cell r="AL74">
            <v>123899.97046431435</v>
          </cell>
          <cell r="AM74" t="str">
            <v>Экспертно</v>
          </cell>
        </row>
        <row r="75">
          <cell r="A75">
            <v>121</v>
          </cell>
          <cell r="B75" t="str">
            <v>Ц00002293</v>
          </cell>
          <cell r="C75" t="str">
            <v>Нежилое здание Об.пл. 1743,4кв.м.Лит Е (Коровник№4 для молодняка) Кад№ 23:24:0701000:704 (НП  МТФ№2)</v>
          </cell>
          <cell r="D75">
            <v>41935</v>
          </cell>
          <cell r="E75">
            <v>41935</v>
          </cell>
          <cell r="F75">
            <v>654951.67000000004</v>
          </cell>
          <cell r="G75">
            <v>0.98663458968190321</v>
          </cell>
          <cell r="H75">
            <v>646197.97219192737</v>
          </cell>
          <cell r="I75">
            <v>1.189041095890411</v>
          </cell>
          <cell r="J75" t="str">
            <v>бутовые</v>
          </cell>
          <cell r="K75">
            <v>0</v>
          </cell>
          <cell r="L75">
            <v>60</v>
          </cell>
          <cell r="M75">
            <v>1.9817351598173515E-2</v>
          </cell>
          <cell r="N75">
            <v>0</v>
          </cell>
          <cell r="O75">
            <v>0</v>
          </cell>
          <cell r="P75">
            <v>1.9817351598173549E-2</v>
          </cell>
          <cell r="Q75">
            <v>407132.07000000007</v>
          </cell>
          <cell r="R75">
            <v>233.52762991854999</v>
          </cell>
          <cell r="S75" t="str">
            <v>Соответствует</v>
          </cell>
          <cell r="T75">
            <v>633392</v>
          </cell>
          <cell r="U75">
            <v>363.30847768727773</v>
          </cell>
          <cell r="V75">
            <v>1.5557408680677007</v>
          </cell>
          <cell r="W75" t="str">
            <v>Соответствует</v>
          </cell>
          <cell r="X75">
            <v>0</v>
          </cell>
          <cell r="Y75">
            <v>0</v>
          </cell>
          <cell r="Z75" t="str">
            <v/>
          </cell>
          <cell r="AA75" t="str">
            <v/>
          </cell>
          <cell r="AB75" t="e">
            <v>#VALUE!</v>
          </cell>
          <cell r="AC75" t="str">
            <v>Не рассчитывалась</v>
          </cell>
          <cell r="AD75" t="str">
            <v>Не рассчитывалась</v>
          </cell>
          <cell r="AE75" t="str">
            <v>Не рассчитывалась</v>
          </cell>
          <cell r="AF75" t="e">
            <v>#VALUE!</v>
          </cell>
          <cell r="AG75">
            <v>1743.4</v>
          </cell>
          <cell r="AH75">
            <v>0</v>
          </cell>
          <cell r="AI75" t="str">
            <v>Уточнить состояние по фото</v>
          </cell>
          <cell r="AJ75" t="str">
            <v>Фото не предоставлено. Чем обусловлена столь низкая балансовая стоимость 655 тыс. руб. за бутовый объект площадью 1743 кв. м? Поскольку РС соответствует ОС, принимаем допущение о правильности расчета по сроку службы.</v>
          </cell>
          <cell r="AK75">
            <v>1</v>
          </cell>
          <cell r="AL75">
            <v>633392</v>
          </cell>
          <cell r="AM75" t="str">
            <v>По сроку службы</v>
          </cell>
        </row>
        <row r="76">
          <cell r="A76">
            <v>122</v>
          </cell>
          <cell r="B76" t="str">
            <v>Ц00003487</v>
          </cell>
          <cell r="C76" t="str">
            <v>Нежилое здание Об.пл. 262,2 кв.м. Литер Б Кад№ 23:24:0701000:668 (Здание прод.склада) (НП ФС)</v>
          </cell>
          <cell r="D76">
            <v>41974</v>
          </cell>
          <cell r="E76">
            <v>41974</v>
          </cell>
          <cell r="F76">
            <v>76139.81</v>
          </cell>
          <cell r="G76">
            <v>0.98663458968190321</v>
          </cell>
          <cell r="H76">
            <v>75122.170197808067</v>
          </cell>
          <cell r="I76">
            <v>1.0821917808219179</v>
          </cell>
          <cell r="J76" t="str">
            <v>шлакоблок</v>
          </cell>
          <cell r="K76">
            <v>0</v>
          </cell>
          <cell r="L76">
            <v>60</v>
          </cell>
          <cell r="M76">
            <v>1.8036529680365298E-2</v>
          </cell>
          <cell r="N76">
            <v>0</v>
          </cell>
          <cell r="O76">
            <v>0</v>
          </cell>
          <cell r="P76">
            <v>1.8036529680365287E-2</v>
          </cell>
          <cell r="Q76">
            <v>65390.689999999995</v>
          </cell>
          <cell r="R76">
            <v>249.39241037376047</v>
          </cell>
          <cell r="S76" t="str">
            <v>Соответствует</v>
          </cell>
          <cell r="T76">
            <v>73767</v>
          </cell>
          <cell r="U76">
            <v>281.33867276887872</v>
          </cell>
          <cell r="V76">
            <v>1.1280963696819839</v>
          </cell>
          <cell r="W76" t="str">
            <v>Соответствует</v>
          </cell>
          <cell r="X76" t="str">
            <v>хорошее</v>
          </cell>
          <cell r="Y76">
            <v>0.4</v>
          </cell>
          <cell r="Z76">
            <v>45073.302118684842</v>
          </cell>
          <cell r="AA76">
            <v>171.90427962885141</v>
          </cell>
          <cell r="AB76">
            <v>0.68929234603098466</v>
          </cell>
          <cell r="AC76" t="str">
            <v>Соответствует</v>
          </cell>
          <cell r="AD76" t="str">
            <v>Не рассчитывалась</v>
          </cell>
          <cell r="AE76" t="str">
            <v>Не рассчитывалась</v>
          </cell>
          <cell r="AF76" t="e">
            <v>#VALUE!</v>
          </cell>
          <cell r="AG76">
            <v>262.2</v>
          </cell>
          <cell r="AH76">
            <v>0</v>
          </cell>
          <cell r="AI76" t="str">
            <v>Уточнить состояние по фото</v>
          </cell>
          <cell r="AJ76" t="str">
            <v>Чем обусловлена столь низкая балансовая стоимость 76 тыс. руб. за бетонный объект площадью 262 кв. м?</v>
          </cell>
          <cell r="AK76">
            <v>1</v>
          </cell>
          <cell r="AL76">
            <v>73767</v>
          </cell>
          <cell r="AM76" t="str">
            <v>По сроку службы</v>
          </cell>
        </row>
        <row r="77">
          <cell r="A77">
            <v>123</v>
          </cell>
          <cell r="B77" t="str">
            <v>Ц00003489</v>
          </cell>
          <cell r="C77" t="str">
            <v>Нежилое здание Об.пл. 554,6 кв.м.  Кад№ 23:24:0701000:690 Литер В,в (Здание овощехранилища) (НП ФС)</v>
          </cell>
          <cell r="D77">
            <v>41974</v>
          </cell>
          <cell r="E77">
            <v>41974</v>
          </cell>
          <cell r="F77">
            <v>195536.08</v>
          </cell>
          <cell r="G77">
            <v>0.98663458968190321</v>
          </cell>
          <cell r="H77">
            <v>192922.66005880779</v>
          </cell>
          <cell r="I77">
            <v>1.0821917808219179</v>
          </cell>
          <cell r="J77" t="str">
            <v>блоки ФС</v>
          </cell>
          <cell r="K77">
            <v>0</v>
          </cell>
          <cell r="L77">
            <v>60</v>
          </cell>
          <cell r="M77">
            <v>1.8036529680365298E-2</v>
          </cell>
          <cell r="N77">
            <v>0</v>
          </cell>
          <cell r="O77">
            <v>0</v>
          </cell>
          <cell r="P77">
            <v>1.8036529680365287E-2</v>
          </cell>
          <cell r="Q77">
            <v>176144.08</v>
          </cell>
          <cell r="R77">
            <v>317.60562567616296</v>
          </cell>
          <cell r="S77" t="str">
            <v>Соответствует</v>
          </cell>
          <cell r="T77">
            <v>189443</v>
          </cell>
          <cell r="U77">
            <v>341.58492607284529</v>
          </cell>
          <cell r="V77">
            <v>1.0755002382140804</v>
          </cell>
          <cell r="W77" t="str">
            <v>Соответствует</v>
          </cell>
          <cell r="X77" t="str">
            <v>удовлетворительное</v>
          </cell>
          <cell r="Y77">
            <v>0.55000000000000004</v>
          </cell>
          <cell r="Z77">
            <v>86815.197026463502</v>
          </cell>
          <cell r="AA77">
            <v>156.53659759549856</v>
          </cell>
          <cell r="AB77">
            <v>0.49286468796716593</v>
          </cell>
          <cell r="AC77" t="str">
            <v>Соответствует</v>
          </cell>
          <cell r="AD77" t="str">
            <v>Не рассчитывалась</v>
          </cell>
          <cell r="AE77" t="str">
            <v>Не рассчитывалась</v>
          </cell>
          <cell r="AF77" t="e">
            <v>#VALUE!</v>
          </cell>
          <cell r="AG77">
            <v>554.6</v>
          </cell>
          <cell r="AH77">
            <v>0</v>
          </cell>
          <cell r="AI77" t="str">
            <v>Уточнить состояние по фото</v>
          </cell>
          <cell r="AJ77" t="str">
            <v>Чем обусловлена столь низкая балансовая стоимость 195 тыс. руб. за бетонный объект площадью 554 кв. м?</v>
          </cell>
          <cell r="AK77">
            <v>1</v>
          </cell>
          <cell r="AL77">
            <v>189443</v>
          </cell>
          <cell r="AM77" t="str">
            <v>По сроку службы</v>
          </cell>
        </row>
        <row r="78">
          <cell r="A78">
            <v>124</v>
          </cell>
          <cell r="B78" t="str">
            <v>Ц00002270</v>
          </cell>
          <cell r="C78" t="str">
            <v>Нежилое здание Об.пл. 59,6кв.м. ЛитерГ7(Трансформаторная станция)Кад№ 23:24:0701000:695  (НП  МТФ№2)</v>
          </cell>
          <cell r="D78">
            <v>41935</v>
          </cell>
          <cell r="E78">
            <v>41935</v>
          </cell>
          <cell r="F78">
            <v>8756.08</v>
          </cell>
          <cell r="G78">
            <v>0.98663458968190321</v>
          </cell>
          <cell r="H78">
            <v>8639.0513980219184</v>
          </cell>
          <cell r="I78">
            <v>1.189041095890411</v>
          </cell>
          <cell r="J78" t="str">
            <v>кирпичные</v>
          </cell>
          <cell r="K78">
            <v>0</v>
          </cell>
          <cell r="L78">
            <v>60</v>
          </cell>
          <cell r="M78">
            <v>1.9817351598173515E-2</v>
          </cell>
          <cell r="N78">
            <v>0</v>
          </cell>
          <cell r="O78">
            <v>0</v>
          </cell>
          <cell r="P78">
            <v>1.9817351598173549E-2</v>
          </cell>
          <cell r="Q78">
            <v>8247.4599999999991</v>
          </cell>
          <cell r="R78">
            <v>138.38020134228185</v>
          </cell>
          <cell r="S78" t="str">
            <v>Соответствует</v>
          </cell>
          <cell r="T78">
            <v>8468</v>
          </cell>
          <cell r="U78">
            <v>142.08053691275168</v>
          </cell>
          <cell r="V78">
            <v>1.0267403539998983</v>
          </cell>
          <cell r="W78" t="str">
            <v>Соответствует</v>
          </cell>
          <cell r="X78" t="str">
            <v>удовлетворительное</v>
          </cell>
          <cell r="Y78">
            <v>0.5</v>
          </cell>
          <cell r="Z78">
            <v>4319.5256990109592</v>
          </cell>
          <cell r="AA78">
            <v>72.475263406224144</v>
          </cell>
          <cell r="AB78">
            <v>0.52374012108103096</v>
          </cell>
          <cell r="AC78" t="str">
            <v>Соответствует</v>
          </cell>
          <cell r="AD78" t="str">
            <v>Не рассчитывалась</v>
          </cell>
          <cell r="AE78" t="str">
            <v>Не рассчитывалась</v>
          </cell>
          <cell r="AF78" t="e">
            <v>#VALUE!</v>
          </cell>
          <cell r="AG78">
            <v>59.6</v>
          </cell>
          <cell r="AH78">
            <v>0</v>
          </cell>
          <cell r="AI78" t="str">
            <v>Уточнить состояние по фото</v>
          </cell>
          <cell r="AJ78" t="str">
            <v>Чем обусловлена столь низкая балансовая стоимость 8,7 тыс. руб. за кирпичный объект площадью 60 кв. м?</v>
          </cell>
          <cell r="AK78">
            <v>1</v>
          </cell>
          <cell r="AL78">
            <v>8468</v>
          </cell>
          <cell r="AM78" t="str">
            <v>По сроку службы</v>
          </cell>
        </row>
        <row r="79">
          <cell r="A79">
            <v>125</v>
          </cell>
          <cell r="B79" t="str">
            <v>Ц00002283</v>
          </cell>
          <cell r="C79" t="str">
            <v>Нежилое здание Об.пл. 877,8кв.м. (Сенохранилище) Кад№ 23:24:0701000:819 Литер Щ  (НП  МТФ№2)</v>
          </cell>
          <cell r="D79">
            <v>41935</v>
          </cell>
          <cell r="E79">
            <v>41935</v>
          </cell>
          <cell r="F79">
            <v>2366651.44</v>
          </cell>
          <cell r="G79">
            <v>0.98663458968190321</v>
          </cell>
          <cell r="H79">
            <v>2335020.1724244854</v>
          </cell>
          <cell r="I79">
            <v>1.189041095890411</v>
          </cell>
          <cell r="J79" t="str">
            <v>металлопрофиль</v>
          </cell>
          <cell r="K79">
            <v>0</v>
          </cell>
          <cell r="L79">
            <v>35</v>
          </cell>
          <cell r="M79">
            <v>3.3972602739726028E-2</v>
          </cell>
          <cell r="N79">
            <v>0</v>
          </cell>
          <cell r="O79">
            <v>0</v>
          </cell>
          <cell r="P79">
            <v>3.3972602739726021E-2</v>
          </cell>
          <cell r="Q79">
            <v>2183595.56</v>
          </cell>
          <cell r="R79">
            <v>2487.5775347459562</v>
          </cell>
          <cell r="S79" t="str">
            <v>Соответствует</v>
          </cell>
          <cell r="T79">
            <v>2255693</v>
          </cell>
          <cell r="U79">
            <v>2569.7117794486217</v>
          </cell>
          <cell r="V79">
            <v>1.0330177626849544</v>
          </cell>
          <cell r="W79" t="str">
            <v>Соответствует</v>
          </cell>
          <cell r="X79" t="str">
            <v>отличное</v>
          </cell>
          <cell r="Y79">
            <v>0.15</v>
          </cell>
          <cell r="Z79">
            <v>1984767.1465608126</v>
          </cell>
          <cell r="AA79">
            <v>2261.069886717718</v>
          </cell>
          <cell r="AB79">
            <v>0.90894448721118148</v>
          </cell>
          <cell r="AC79" t="str">
            <v>Соответствует</v>
          </cell>
          <cell r="AD79" t="str">
            <v>Не рассчитывалась</v>
          </cell>
          <cell r="AE79" t="str">
            <v>Не рассчитывалась</v>
          </cell>
          <cell r="AF79" t="e">
            <v>#VALUE!</v>
          </cell>
          <cell r="AG79">
            <v>877.8</v>
          </cell>
          <cell r="AH79">
            <v>0</v>
          </cell>
          <cell r="AI79">
            <v>0</v>
          </cell>
          <cell r="AL79">
            <v>2255693</v>
          </cell>
          <cell r="AM79" t="str">
            <v>По сроку службы</v>
          </cell>
        </row>
        <row r="80">
          <cell r="A80">
            <v>127</v>
          </cell>
          <cell r="B80" t="str">
            <v>Ц00003488</v>
          </cell>
          <cell r="C80" t="str">
            <v>Нежилое здание Об.пл. 973,7 кв.м.  Кад№ 23:24:0701000:671 Лит К,К1 (Здание фуражного склада) (НП ФС)</v>
          </cell>
          <cell r="D80">
            <v>41974</v>
          </cell>
          <cell r="E80">
            <v>41974</v>
          </cell>
          <cell r="F80">
            <v>38069.910000000003</v>
          </cell>
          <cell r="G80">
            <v>0.98663458968190321</v>
          </cell>
          <cell r="H80">
            <v>37561.090032076987</v>
          </cell>
          <cell r="I80">
            <v>1.0821917808219179</v>
          </cell>
          <cell r="J80" t="str">
            <v>ракушечник</v>
          </cell>
          <cell r="K80">
            <v>0</v>
          </cell>
          <cell r="L80">
            <v>60</v>
          </cell>
          <cell r="M80">
            <v>1.8036529680365298E-2</v>
          </cell>
          <cell r="N80">
            <v>0</v>
          </cell>
          <cell r="O80">
            <v>0</v>
          </cell>
          <cell r="P80">
            <v>1.8036529680365287E-2</v>
          </cell>
          <cell r="Q80">
            <v>32695.350000000002</v>
          </cell>
          <cell r="R80">
            <v>33.578463592482287</v>
          </cell>
          <cell r="S80" t="str">
            <v>Соответствует</v>
          </cell>
          <cell r="T80">
            <v>36884</v>
          </cell>
          <cell r="U80">
            <v>37.880250590530963</v>
          </cell>
          <cell r="V80">
            <v>1.1281114898601787</v>
          </cell>
          <cell r="W80" t="str">
            <v>Соответствует</v>
          </cell>
          <cell r="X80" t="str">
            <v>удовлетворительное</v>
          </cell>
          <cell r="Y80">
            <v>0.5</v>
          </cell>
          <cell r="Z80">
            <v>18780.545016038493</v>
          </cell>
          <cell r="AA80">
            <v>19.287814538398369</v>
          </cell>
          <cell r="AB80">
            <v>0.57441027595784999</v>
          </cell>
          <cell r="AC80" t="str">
            <v>Соответствует</v>
          </cell>
          <cell r="AD80" t="str">
            <v>Не рассчитывалась</v>
          </cell>
          <cell r="AE80" t="str">
            <v>Не рассчитывалась</v>
          </cell>
          <cell r="AF80" t="e">
            <v>#VALUE!</v>
          </cell>
          <cell r="AG80">
            <v>973.7</v>
          </cell>
          <cell r="AH80">
            <v>0</v>
          </cell>
          <cell r="AI80" t="str">
            <v>Уточнить состояние по фото</v>
          </cell>
          <cell r="AJ80" t="str">
            <v>Чем обусловлена столь низкая балансовая стоимость 38 тыс. руб. за капитальный объект площадью 973 кв. м?</v>
          </cell>
          <cell r="AK80">
            <v>1</v>
          </cell>
          <cell r="AL80">
            <v>36884</v>
          </cell>
          <cell r="AM80" t="str">
            <v>По сроку службы</v>
          </cell>
        </row>
        <row r="81">
          <cell r="A81">
            <v>128</v>
          </cell>
          <cell r="B81" t="str">
            <v>Ц00003485</v>
          </cell>
          <cell r="C81" t="str">
            <v>Нежилое здание Об.пл.1655,4 кв.м. Литер Н,Н1,н  Кад№ 23:24:0701000:694 (Здание зерносклада) (НП ФС)</v>
          </cell>
          <cell r="D81">
            <v>41974</v>
          </cell>
          <cell r="E81">
            <v>41974</v>
          </cell>
          <cell r="F81">
            <v>866017.19</v>
          </cell>
          <cell r="G81">
            <v>0.98663458968190321</v>
          </cell>
          <cell r="H81">
            <v>854442.51491312473</v>
          </cell>
          <cell r="I81">
            <v>1.0821917808219179</v>
          </cell>
          <cell r="J81" t="str">
            <v>кирпичные</v>
          </cell>
          <cell r="K81">
            <v>0</v>
          </cell>
          <cell r="L81">
            <v>60</v>
          </cell>
          <cell r="M81">
            <v>1.8036529680365298E-2</v>
          </cell>
          <cell r="N81">
            <v>0</v>
          </cell>
          <cell r="O81">
            <v>0</v>
          </cell>
          <cell r="P81">
            <v>1.8036529680365287E-2</v>
          </cell>
          <cell r="Q81">
            <v>780131.14999999991</v>
          </cell>
          <cell r="R81">
            <v>471.26443759816351</v>
          </cell>
          <cell r="S81" t="str">
            <v>Соответствует</v>
          </cell>
          <cell r="T81">
            <v>839031</v>
          </cell>
          <cell r="U81">
            <v>506.84487133019206</v>
          </cell>
          <cell r="V81">
            <v>1.0754999335688622</v>
          </cell>
          <cell r="W81" t="str">
            <v>Соответствует</v>
          </cell>
          <cell r="X81" t="str">
            <v>хорошее</v>
          </cell>
          <cell r="Y81">
            <v>0.2</v>
          </cell>
          <cell r="Z81">
            <v>683554.01193049981</v>
          </cell>
          <cell r="AA81">
            <v>412.92377185604676</v>
          </cell>
          <cell r="AB81">
            <v>0.87620397151235385</v>
          </cell>
          <cell r="AC81" t="str">
            <v>Соответствует</v>
          </cell>
          <cell r="AD81" t="str">
            <v>Не рассчитывалась</v>
          </cell>
          <cell r="AE81" t="str">
            <v>Не рассчитывалась</v>
          </cell>
          <cell r="AF81" t="e">
            <v>#VALUE!</v>
          </cell>
          <cell r="AG81">
            <v>1655.4</v>
          </cell>
          <cell r="AH81">
            <v>0</v>
          </cell>
          <cell r="AI81" t="str">
            <v>Уточнить состояние по фото</v>
          </cell>
          <cell r="AJ81" t="str">
            <v>Чем обусловлена столь низкая балансовая стоимость 866 тыс. руб. за кирпичный объект площадью 1655 кв. м?</v>
          </cell>
          <cell r="AK81">
            <v>1</v>
          </cell>
          <cell r="AL81">
            <v>839031</v>
          </cell>
          <cell r="AM81" t="str">
            <v>По сроку службы</v>
          </cell>
        </row>
        <row r="82">
          <cell r="A82">
            <v>129</v>
          </cell>
          <cell r="B82" t="str">
            <v>Ц00003484</v>
          </cell>
          <cell r="C82" t="str">
            <v>Нежилое здание Об.пл.445,1 кв.м. Литер З Кад№ 23:24:0701000:676 (Здание кормоцеха) (НП ФС)</v>
          </cell>
          <cell r="D82">
            <v>41974</v>
          </cell>
          <cell r="E82">
            <v>41974</v>
          </cell>
          <cell r="F82">
            <v>344321.17</v>
          </cell>
          <cell r="G82">
            <v>0.98663458968190321</v>
          </cell>
          <cell r="H82">
            <v>339719.17628174281</v>
          </cell>
          <cell r="I82">
            <v>1.0821917808219179</v>
          </cell>
          <cell r="J82" t="str">
            <v>металлические</v>
          </cell>
          <cell r="K82">
            <v>0</v>
          </cell>
          <cell r="L82">
            <v>35</v>
          </cell>
          <cell r="M82">
            <v>3.0919765166340513E-2</v>
          </cell>
          <cell r="N82">
            <v>0</v>
          </cell>
          <cell r="O82">
            <v>0</v>
          </cell>
          <cell r="P82">
            <v>3.091976516634054E-2</v>
          </cell>
          <cell r="Q82">
            <v>310173.61</v>
          </cell>
          <cell r="R82">
            <v>696.8627499438328</v>
          </cell>
          <cell r="S82" t="str">
            <v>Соответствует</v>
          </cell>
          <cell r="T82">
            <v>329215</v>
          </cell>
          <cell r="U82">
            <v>739.64277690406641</v>
          </cell>
          <cell r="V82">
            <v>1.0613894586325381</v>
          </cell>
          <cell r="W82" t="str">
            <v>Соответствует</v>
          </cell>
          <cell r="X82" t="str">
            <v>отличное</v>
          </cell>
          <cell r="Y82">
            <v>0.05</v>
          </cell>
          <cell r="Z82">
            <v>322733.21746765566</v>
          </cell>
          <cell r="AA82">
            <v>725.08024593946448</v>
          </cell>
          <cell r="AB82">
            <v>1.0404921858686034</v>
          </cell>
          <cell r="AC82" t="str">
            <v>Соответствует</v>
          </cell>
          <cell r="AD82" t="str">
            <v>Не рассчитывалась</v>
          </cell>
          <cell r="AE82" t="str">
            <v>Не рассчитывалась</v>
          </cell>
          <cell r="AF82" t="e">
            <v>#VALUE!</v>
          </cell>
          <cell r="AG82">
            <v>445.1</v>
          </cell>
          <cell r="AH82">
            <v>0</v>
          </cell>
          <cell r="AI82" t="str">
            <v>Уточнить состояние по фото</v>
          </cell>
          <cell r="AL82">
            <v>322733.21746765566</v>
          </cell>
          <cell r="AM82" t="str">
            <v>Экспертно</v>
          </cell>
        </row>
        <row r="83">
          <cell r="A83">
            <v>130</v>
          </cell>
          <cell r="B83" t="str">
            <v>Ц00003163</v>
          </cell>
          <cell r="C83" t="str">
            <v>Нежилое здание Об.пл.54,9 кв.м. Литер И,И1 Кад№ 23:24:0701000:670 (Здание весовой) (НП ФС)</v>
          </cell>
          <cell r="D83">
            <v>41974</v>
          </cell>
          <cell r="E83">
            <v>41974</v>
          </cell>
          <cell r="F83">
            <v>199266.18</v>
          </cell>
          <cell r="G83">
            <v>0.98663458968190321</v>
          </cell>
          <cell r="H83">
            <v>196602.90574178027</v>
          </cell>
          <cell r="I83">
            <v>1.0821917808219179</v>
          </cell>
          <cell r="J83" t="str">
            <v>блоки</v>
          </cell>
          <cell r="K83">
            <v>0</v>
          </cell>
          <cell r="L83">
            <v>60</v>
          </cell>
          <cell r="M83">
            <v>1.8036529680365298E-2</v>
          </cell>
          <cell r="N83">
            <v>0</v>
          </cell>
          <cell r="O83">
            <v>0</v>
          </cell>
          <cell r="P83">
            <v>1.8036529680365287E-2</v>
          </cell>
          <cell r="Q83">
            <v>15328.139999999985</v>
          </cell>
          <cell r="R83">
            <v>279.2010928961746</v>
          </cell>
          <cell r="S83" t="str">
            <v>Не соответствует</v>
          </cell>
          <cell r="T83">
            <v>193057</v>
          </cell>
          <cell r="U83">
            <v>3516.5209471766848</v>
          </cell>
          <cell r="V83">
            <v>12.594939764381079</v>
          </cell>
          <cell r="W83" t="str">
            <v>Соответствует</v>
          </cell>
          <cell r="X83">
            <v>0</v>
          </cell>
          <cell r="Y83">
            <v>0</v>
          </cell>
          <cell r="Z83" t="str">
            <v/>
          </cell>
          <cell r="AA83" t="str">
            <v/>
          </cell>
          <cell r="AB83" t="e">
            <v>#VALUE!</v>
          </cell>
          <cell r="AC83" t="str">
            <v>Не рассчитывалась</v>
          </cell>
          <cell r="AD83" t="str">
            <v>Не рассчитывалась</v>
          </cell>
          <cell r="AE83" t="str">
            <v>Не рассчитывалась</v>
          </cell>
          <cell r="AF83" t="e">
            <v>#VALUE!</v>
          </cell>
          <cell r="AG83">
            <v>54.9</v>
          </cell>
          <cell r="AH83" t="str">
            <v>будет использоваться</v>
          </cell>
          <cell r="AI83">
            <v>0</v>
          </cell>
          <cell r="AJ83" t="str">
            <v>Фото не предоставлено. Допущение о том, что здание весовой без оборудования.</v>
          </cell>
          <cell r="AL83">
            <v>193057</v>
          </cell>
          <cell r="AM83" t="str">
            <v>По сроку службы</v>
          </cell>
        </row>
        <row r="84">
          <cell r="A84">
            <v>131</v>
          </cell>
          <cell r="B84">
            <v>518</v>
          </cell>
          <cell r="C84" t="str">
            <v>Нежилое здание общ.пл. 178,4 кв.м. Литер Ж (Здание эл. цеха(516) СМУ) Кад№ 23:11:0701142:20</v>
          </cell>
          <cell r="D84">
            <v>19343</v>
          </cell>
          <cell r="E84">
            <v>19343</v>
          </cell>
          <cell r="F84">
            <v>19720</v>
          </cell>
          <cell r="G84">
            <v>13.261762999999998</v>
          </cell>
          <cell r="H84">
            <v>261521.96635999996</v>
          </cell>
          <cell r="I84">
            <v>63.084931506849315</v>
          </cell>
          <cell r="J84" t="str">
            <v>кирпичные</v>
          </cell>
          <cell r="K84">
            <v>0</v>
          </cell>
          <cell r="L84">
            <v>60</v>
          </cell>
          <cell r="M84">
            <v>0.8</v>
          </cell>
          <cell r="N84">
            <v>0</v>
          </cell>
          <cell r="O84">
            <v>0</v>
          </cell>
          <cell r="P84">
            <v>0.8</v>
          </cell>
          <cell r="Q84">
            <v>0</v>
          </cell>
          <cell r="R84">
            <v>0</v>
          </cell>
          <cell r="S84" t="str">
            <v>Не соответствует</v>
          </cell>
          <cell r="T84">
            <v>52304</v>
          </cell>
          <cell r="U84">
            <v>293.18385650224212</v>
          </cell>
          <cell r="V84" t="e">
            <v>#DIV/0!</v>
          </cell>
          <cell r="W84" t="str">
            <v>Не соответствует</v>
          </cell>
          <cell r="X84" t="str">
            <v>удовлетворительное</v>
          </cell>
          <cell r="Y84">
            <v>0.4</v>
          </cell>
          <cell r="Z84">
            <v>156913.17981599996</v>
          </cell>
          <cell r="AA84">
            <v>879.55818282511188</v>
          </cell>
          <cell r="AB84" t="e">
            <v>#DIV/0!</v>
          </cell>
          <cell r="AC84" t="str">
            <v>Соответствует</v>
          </cell>
          <cell r="AD84" t="str">
            <v>Не рассчитывалась</v>
          </cell>
          <cell r="AE84" t="str">
            <v>Не рассчитывалась</v>
          </cell>
          <cell r="AF84" t="e">
            <v>#VALUE!</v>
          </cell>
          <cell r="AG84">
            <v>178.4</v>
          </cell>
          <cell r="AH84" t="str">
            <v>будет использоваться</v>
          </cell>
          <cell r="AI84" t="str">
            <v>Уточнить состояние по фото</v>
          </cell>
          <cell r="AL84">
            <v>156913.17981599996</v>
          </cell>
          <cell r="AM84" t="str">
            <v>Экспертно</v>
          </cell>
        </row>
        <row r="85">
          <cell r="A85">
            <v>132</v>
          </cell>
          <cell r="B85">
            <v>336</v>
          </cell>
          <cell r="C85" t="str">
            <v>Нежилое помещение (Мехплощадка ) Об.пл. 1782,2 кв.м. Кад№ 23:11:0702000:859</v>
          </cell>
          <cell r="D85">
            <v>20804</v>
          </cell>
          <cell r="E85">
            <v>20804</v>
          </cell>
          <cell r="F85">
            <v>76582</v>
          </cell>
          <cell r="G85">
            <v>13.261762999999998</v>
          </cell>
          <cell r="H85">
            <v>1015612.3340659998</v>
          </cell>
          <cell r="I85">
            <v>59.082191780821915</v>
          </cell>
          <cell r="J85" t="str">
            <v>камни бутовые</v>
          </cell>
          <cell r="K85">
            <v>0</v>
          </cell>
          <cell r="L85">
            <v>60</v>
          </cell>
          <cell r="M85">
            <v>0.8</v>
          </cell>
          <cell r="N85">
            <v>0</v>
          </cell>
          <cell r="O85">
            <v>0</v>
          </cell>
          <cell r="P85">
            <v>0.8</v>
          </cell>
          <cell r="Q85">
            <v>47863.4</v>
          </cell>
          <cell r="R85">
            <v>19.094187577292857</v>
          </cell>
          <cell r="S85">
            <v>0</v>
          </cell>
          <cell r="T85">
            <v>203122</v>
          </cell>
          <cell r="U85">
            <v>81.031635217616795</v>
          </cell>
          <cell r="V85">
            <v>4.2437854393962819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 t="str">
            <v/>
          </cell>
          <cell r="AB85" t="e">
            <v>#VALUE!</v>
          </cell>
          <cell r="AC85">
            <v>0</v>
          </cell>
          <cell r="AD85" t="str">
            <v>Не рассчитывалась</v>
          </cell>
          <cell r="AE85" t="str">
            <v>Не рассчитывалась</v>
          </cell>
          <cell r="AF85" t="e">
            <v>#VALUE!</v>
          </cell>
          <cell r="AG85">
            <v>2506.6999999999998</v>
          </cell>
          <cell r="AH85" t="str">
            <v>ликвидация</v>
          </cell>
          <cell r="AI85" t="str">
            <v>Уточнить состояние по фото</v>
          </cell>
          <cell r="AL85">
            <v>0</v>
          </cell>
          <cell r="AM85" t="str">
            <v>Не рассчитывалась</v>
          </cell>
        </row>
        <row r="86">
          <cell r="A86">
            <v>133</v>
          </cell>
          <cell r="B86">
            <v>528</v>
          </cell>
          <cell r="C86" t="str">
            <v xml:space="preserve">Нежилое помещение Об.пл.200,6 кв.м. Литер Ж Кад№ 23:11:0702003:35 </v>
          </cell>
          <cell r="D86">
            <v>36144</v>
          </cell>
          <cell r="E86">
            <v>36144</v>
          </cell>
          <cell r="F86">
            <v>243972</v>
          </cell>
          <cell r="G86">
            <v>13.261762999999998</v>
          </cell>
          <cell r="H86">
            <v>3235498.8426359994</v>
          </cell>
          <cell r="I86">
            <v>17.054794520547944</v>
          </cell>
          <cell r="J86" t="str">
            <v>кирпичные</v>
          </cell>
          <cell r="K86">
            <v>0</v>
          </cell>
          <cell r="L86">
            <v>60</v>
          </cell>
          <cell r="M86">
            <v>0.28424657534246572</v>
          </cell>
          <cell r="N86">
            <v>0</v>
          </cell>
          <cell r="O86">
            <v>0</v>
          </cell>
          <cell r="P86">
            <v>0.28424657534246567</v>
          </cell>
          <cell r="Q86">
            <v>0</v>
          </cell>
          <cell r="R86">
            <v>0</v>
          </cell>
          <cell r="S86" t="str">
            <v>Не соответствует</v>
          </cell>
          <cell r="T86">
            <v>2315819</v>
          </cell>
          <cell r="U86">
            <v>11544.461615154536</v>
          </cell>
          <cell r="V86" t="e">
            <v>#DIV/0!</v>
          </cell>
          <cell r="W86" t="str">
            <v>Соответствует</v>
          </cell>
          <cell r="X86" t="str">
            <v>хорошее</v>
          </cell>
          <cell r="Y86">
            <v>0.2</v>
          </cell>
          <cell r="Z86">
            <v>2588399.0741087999</v>
          </cell>
          <cell r="AA86">
            <v>12903.285514001995</v>
          </cell>
          <cell r="AB86" t="e">
            <v>#DIV/0!</v>
          </cell>
          <cell r="AC86" t="str">
            <v>Соответствует</v>
          </cell>
          <cell r="AD86" t="str">
            <v>Не рассчитывалась</v>
          </cell>
          <cell r="AE86" t="str">
            <v>Не рассчитывалась</v>
          </cell>
          <cell r="AF86" t="e">
            <v>#VALUE!</v>
          </cell>
          <cell r="AG86">
            <v>200.6</v>
          </cell>
          <cell r="AH86" t="str">
            <v>будет использоваться</v>
          </cell>
          <cell r="AI86" t="str">
            <v>Уточнить состояние по фото</v>
          </cell>
          <cell r="AL86">
            <v>2315819</v>
          </cell>
          <cell r="AM86" t="str">
            <v>По сроку службы</v>
          </cell>
        </row>
        <row r="87">
          <cell r="A87">
            <v>134</v>
          </cell>
          <cell r="B87">
            <v>375</v>
          </cell>
          <cell r="C87" t="str">
            <v>Охранное помещение  Литер С   Об.S-16.9 кв.м. Кад№ 23:11:0702000:810</v>
          </cell>
          <cell r="D87">
            <v>24456</v>
          </cell>
          <cell r="E87">
            <v>24456</v>
          </cell>
          <cell r="F87">
            <v>193957</v>
          </cell>
          <cell r="G87">
            <v>13.261762999999998</v>
          </cell>
          <cell r="H87">
            <v>2572211.7661909997</v>
          </cell>
          <cell r="I87">
            <v>49.076712328767123</v>
          </cell>
          <cell r="J87" t="str">
            <v>ж/ж блоки</v>
          </cell>
          <cell r="K87">
            <v>0</v>
          </cell>
          <cell r="L87">
            <v>50</v>
          </cell>
          <cell r="M87">
            <v>0.8</v>
          </cell>
          <cell r="N87">
            <v>0</v>
          </cell>
          <cell r="O87">
            <v>0</v>
          </cell>
          <cell r="P87">
            <v>0.8</v>
          </cell>
          <cell r="Q87">
            <v>121223.44</v>
          </cell>
          <cell r="R87">
            <v>7172.9846153846165</v>
          </cell>
          <cell r="S87" t="str">
            <v>Соответствует</v>
          </cell>
          <cell r="T87">
            <v>514442</v>
          </cell>
          <cell r="U87">
            <v>30440.3550295858</v>
          </cell>
          <cell r="V87">
            <v>4.2437502186045863</v>
          </cell>
          <cell r="W87" t="str">
            <v>Не соответствует</v>
          </cell>
          <cell r="X87" t="str">
            <v>хорошее</v>
          </cell>
          <cell r="Y87">
            <v>0.2</v>
          </cell>
          <cell r="Z87">
            <v>2057769.4129527998</v>
          </cell>
          <cell r="AA87">
            <v>121761.50372501776</v>
          </cell>
          <cell r="AB87">
            <v>16.975012530190529</v>
          </cell>
          <cell r="AC87" t="str">
            <v>Не соответствует</v>
          </cell>
          <cell r="AD87">
            <v>125178</v>
          </cell>
          <cell r="AE87">
            <v>7406.9822485207105</v>
          </cell>
          <cell r="AF87">
            <v>1.0326220737507532</v>
          </cell>
          <cell r="AG87">
            <v>16.899999999999999</v>
          </cell>
          <cell r="AH87" t="str">
            <v>будет использоваться</v>
          </cell>
          <cell r="AI87" t="str">
            <v>Уточнить состояние по фото</v>
          </cell>
          <cell r="AJ87" t="str">
            <v>Расчет по Ко-Инвесту</v>
          </cell>
          <cell r="AL87">
            <v>125178</v>
          </cell>
          <cell r="AM87" t="str">
            <v>Ко-Инвест</v>
          </cell>
        </row>
        <row r="88">
          <cell r="A88">
            <v>135</v>
          </cell>
          <cell r="B88">
            <v>2138</v>
          </cell>
          <cell r="C88" t="str">
            <v>Пекарня, магазин   (Пекарня (новая) 80-а Об.S-409,3 кв.м. Литер А) Кад№ 23:11:0603308:76</v>
          </cell>
          <cell r="D88">
            <v>37605</v>
          </cell>
          <cell r="E88">
            <v>37605</v>
          </cell>
          <cell r="F88">
            <v>1265846.3999999999</v>
          </cell>
          <cell r="G88">
            <v>4.5511713933415532</v>
          </cell>
          <cell r="H88">
            <v>5761083.9240443883</v>
          </cell>
          <cell r="I88">
            <v>13.052054794520547</v>
          </cell>
          <cell r="J88" t="str">
            <v>каменные</v>
          </cell>
          <cell r="K88">
            <v>0</v>
          </cell>
          <cell r="L88">
            <v>60</v>
          </cell>
          <cell r="M88">
            <v>0.21753424657534245</v>
          </cell>
          <cell r="N88">
            <v>0</v>
          </cell>
          <cell r="O88">
            <v>0</v>
          </cell>
          <cell r="P88">
            <v>0.21753424657534248</v>
          </cell>
          <cell r="Q88">
            <v>949426.81999999983</v>
          </cell>
          <cell r="R88">
            <v>2319.6355240654771</v>
          </cell>
          <cell r="S88" t="str">
            <v>Не соответствует</v>
          </cell>
          <cell r="T88">
            <v>4507851</v>
          </cell>
          <cell r="U88">
            <v>11013.562179330564</v>
          </cell>
          <cell r="V88">
            <v>4.7479709915925916</v>
          </cell>
          <cell r="W88" t="str">
            <v>Соответствует</v>
          </cell>
          <cell r="X88" t="str">
            <v>хорошее</v>
          </cell>
          <cell r="Y88">
            <v>0.25</v>
          </cell>
          <cell r="Z88">
            <v>4320812.943033291</v>
          </cell>
          <cell r="AA88">
            <v>10556.591602817716</v>
          </cell>
          <cell r="AB88">
            <v>4.5509699663142991</v>
          </cell>
          <cell r="AC88" t="str">
            <v>Соответствует</v>
          </cell>
          <cell r="AD88" t="str">
            <v>Не рассчитывалась</v>
          </cell>
          <cell r="AE88" t="str">
            <v>Не рассчитывалась</v>
          </cell>
          <cell r="AF88" t="e">
            <v>#VALUE!</v>
          </cell>
          <cell r="AG88">
            <v>409.3</v>
          </cell>
          <cell r="AH88" t="str">
            <v>будет использоваться</v>
          </cell>
          <cell r="AI88" t="str">
            <v>Возможно с оборудованием? Уточнить состояние.</v>
          </cell>
          <cell r="AL88">
            <v>4320812.943033291</v>
          </cell>
          <cell r="AM88" t="str">
            <v>Экспертно</v>
          </cell>
        </row>
        <row r="89">
          <cell r="A89">
            <v>136</v>
          </cell>
          <cell r="B89">
            <v>348</v>
          </cell>
          <cell r="C89" t="str">
            <v>Помещение для молодняка КРС  Литер А МТФ№5  Об.пл. 654,4 кв.м Кад№ 23:11:0607000:2176</v>
          </cell>
          <cell r="D89">
            <v>22995</v>
          </cell>
          <cell r="E89">
            <v>22995</v>
          </cell>
          <cell r="F89">
            <v>150698</v>
          </cell>
          <cell r="G89">
            <v>13.261762999999998</v>
          </cell>
          <cell r="H89">
            <v>1998521.1605739999</v>
          </cell>
          <cell r="I89">
            <v>53.079452054794523</v>
          </cell>
          <cell r="J89" t="str">
            <v>каменные</v>
          </cell>
          <cell r="K89">
            <v>0</v>
          </cell>
          <cell r="L89">
            <v>60</v>
          </cell>
          <cell r="M89">
            <v>0.8</v>
          </cell>
          <cell r="N89">
            <v>0</v>
          </cell>
          <cell r="O89">
            <v>0</v>
          </cell>
          <cell r="P89">
            <v>0.8</v>
          </cell>
          <cell r="Q89">
            <v>0</v>
          </cell>
          <cell r="R89">
            <v>0</v>
          </cell>
          <cell r="S89" t="str">
            <v>Не соответствует</v>
          </cell>
          <cell r="T89">
            <v>399704</v>
          </cell>
          <cell r="U89">
            <v>610.7946210268949</v>
          </cell>
          <cell r="V89" t="e">
            <v>#DIV/0!</v>
          </cell>
          <cell r="W89" t="str">
            <v>Не соответствует</v>
          </cell>
          <cell r="X89" t="str">
            <v>хорошее</v>
          </cell>
          <cell r="Y89">
            <v>0.3</v>
          </cell>
          <cell r="Z89">
            <v>1398964.8124017997</v>
          </cell>
          <cell r="AA89">
            <v>2137.7824150394249</v>
          </cell>
          <cell r="AB89" t="e">
            <v>#DIV/0!</v>
          </cell>
          <cell r="AC89" t="str">
            <v>Соответствует</v>
          </cell>
          <cell r="AD89" t="str">
            <v>Не рассчитывалась</v>
          </cell>
          <cell r="AE89" t="str">
            <v>Не рассчитывалась</v>
          </cell>
          <cell r="AF89" t="e">
            <v>#VALUE!</v>
          </cell>
          <cell r="AG89">
            <v>654.4</v>
          </cell>
          <cell r="AH89" t="str">
            <v>будет использоваться</v>
          </cell>
          <cell r="AI89">
            <v>0</v>
          </cell>
          <cell r="AL89">
            <v>1398964.8124017997</v>
          </cell>
          <cell r="AM89" t="str">
            <v>Экспертно</v>
          </cell>
        </row>
        <row r="90">
          <cell r="A90">
            <v>137</v>
          </cell>
          <cell r="B90">
            <v>312</v>
          </cell>
          <cell r="C90" t="str">
            <v>Продовольственный склад по ул, Набережной   94 Об.S-776,7кв.м.  Литер А, А1 Кад№ 23:11:0603308:111</v>
          </cell>
          <cell r="D90">
            <v>37970</v>
          </cell>
          <cell r="E90">
            <v>37970</v>
          </cell>
          <cell r="F90">
            <v>661986</v>
          </cell>
          <cell r="G90">
            <v>3.9624261943102521</v>
          </cell>
          <cell r="H90">
            <v>2623070.6666666665</v>
          </cell>
          <cell r="I90">
            <v>12.052054794520547</v>
          </cell>
          <cell r="J90" t="str">
            <v>каменные</v>
          </cell>
          <cell r="K90">
            <v>0</v>
          </cell>
          <cell r="L90">
            <v>60</v>
          </cell>
          <cell r="M90">
            <v>0.20086757990867579</v>
          </cell>
          <cell r="N90">
            <v>0</v>
          </cell>
          <cell r="O90">
            <v>0</v>
          </cell>
          <cell r="P90">
            <v>0.20086757990867576</v>
          </cell>
          <cell r="Q90">
            <v>463389.52</v>
          </cell>
          <cell r="R90">
            <v>596.61326123342349</v>
          </cell>
          <cell r="S90" t="str">
            <v>Не соответствует</v>
          </cell>
          <cell r="T90">
            <v>2096181</v>
          </cell>
          <cell r="U90">
            <v>2698.8296639629198</v>
          </cell>
          <cell r="V90">
            <v>4.5235830970022795</v>
          </cell>
          <cell r="W90" t="str">
            <v>Соответствует</v>
          </cell>
          <cell r="X90" t="str">
            <v>хорошее</v>
          </cell>
          <cell r="Y90">
            <v>0.25</v>
          </cell>
          <cell r="Z90">
            <v>1967303</v>
          </cell>
          <cell r="AA90">
            <v>2532.8994463756917</v>
          </cell>
          <cell r="AB90">
            <v>4.2454628667476122</v>
          </cell>
          <cell r="AC90" t="str">
            <v>Соответствует</v>
          </cell>
          <cell r="AD90" t="str">
            <v>Не рассчитывалась</v>
          </cell>
          <cell r="AE90" t="str">
            <v>Не рассчитывалась</v>
          </cell>
          <cell r="AF90" t="e">
            <v>#VALUE!</v>
          </cell>
          <cell r="AG90">
            <v>776.7</v>
          </cell>
          <cell r="AH90" t="str">
            <v>будет использоваться</v>
          </cell>
          <cell r="AI90">
            <v>0</v>
          </cell>
          <cell r="AL90">
            <v>1967303</v>
          </cell>
          <cell r="AM90" t="str">
            <v>Экспертно</v>
          </cell>
        </row>
        <row r="91">
          <cell r="A91">
            <v>138</v>
          </cell>
          <cell r="B91">
            <v>353</v>
          </cell>
          <cell r="C91" t="str">
            <v>Родильное отд, на 260 гол,№147 МТФ №1 об.пл 2600,8 кв.м Литер Б Усл.№  000:03:220:001:015435930:0002</v>
          </cell>
          <cell r="D91">
            <v>30665</v>
          </cell>
          <cell r="E91">
            <v>30665</v>
          </cell>
          <cell r="F91">
            <v>1578467.98</v>
          </cell>
          <cell r="G91">
            <v>13.261762999999998</v>
          </cell>
          <cell r="H91">
            <v>20933268.253848739</v>
          </cell>
          <cell r="I91">
            <v>32.065753424657537</v>
          </cell>
          <cell r="J91" t="str">
            <v>кирпичное</v>
          </cell>
          <cell r="K91">
            <v>0</v>
          </cell>
          <cell r="L91">
            <v>60</v>
          </cell>
          <cell r="M91">
            <v>0.53442922374429225</v>
          </cell>
          <cell r="N91">
            <v>0</v>
          </cell>
          <cell r="O91">
            <v>0</v>
          </cell>
          <cell r="P91">
            <v>0.53442922374429225</v>
          </cell>
          <cell r="Q91">
            <v>864128.38</v>
          </cell>
          <cell r="R91">
            <v>332.25483697323898</v>
          </cell>
          <cell r="S91">
            <v>0</v>
          </cell>
          <cell r="T91">
            <v>9745918</v>
          </cell>
          <cell r="U91">
            <v>3747.2769916948628</v>
          </cell>
          <cell r="V91">
            <v>11.278321862314023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  <cell r="AA91" t="str">
            <v/>
          </cell>
          <cell r="AB91" t="e">
            <v>#VALUE!</v>
          </cell>
          <cell r="AC91">
            <v>0</v>
          </cell>
          <cell r="AD91" t="str">
            <v>Не рассчитывалась</v>
          </cell>
          <cell r="AE91" t="str">
            <v>Не рассчитывалась</v>
          </cell>
          <cell r="AF91" t="e">
            <v>#VALUE!</v>
          </cell>
          <cell r="AG91">
            <v>2600.8000000000002</v>
          </cell>
          <cell r="AH91" t="str">
            <v>не будет использоваться</v>
          </cell>
          <cell r="AI91">
            <v>0</v>
          </cell>
          <cell r="AL91">
            <v>0</v>
          </cell>
          <cell r="AM91" t="str">
            <v>Не рассчитывалась</v>
          </cell>
        </row>
        <row r="92">
          <cell r="A92">
            <v>139</v>
          </cell>
          <cell r="B92">
            <v>358</v>
          </cell>
          <cell r="C92" t="str">
            <v>Санпропускник (106) СТФ  Литер Ц  178,70 кв.м.  Кад.№ 23:11:0702000:779</v>
          </cell>
          <cell r="D92">
            <v>27743</v>
          </cell>
          <cell r="E92">
            <v>27743</v>
          </cell>
          <cell r="F92">
            <v>579415.84</v>
          </cell>
          <cell r="G92">
            <v>13.261762999999998</v>
          </cell>
          <cell r="H92">
            <v>7684075.5485259183</v>
          </cell>
          <cell r="I92">
            <v>40.07123287671233</v>
          </cell>
          <cell r="J92" t="str">
            <v>каменные</v>
          </cell>
          <cell r="K92">
            <v>0</v>
          </cell>
          <cell r="L92">
            <v>60</v>
          </cell>
          <cell r="M92">
            <v>0.66785388127853884</v>
          </cell>
          <cell r="N92">
            <v>0</v>
          </cell>
          <cell r="O92">
            <v>0</v>
          </cell>
          <cell r="P92">
            <v>0.66785388127853884</v>
          </cell>
          <cell r="Q92">
            <v>452783.63999999996</v>
          </cell>
          <cell r="R92">
            <v>2533.7640738668156</v>
          </cell>
          <cell r="S92" t="str">
            <v>Не соответствует</v>
          </cell>
          <cell r="T92">
            <v>2552236</v>
          </cell>
          <cell r="U92">
            <v>14282.238388360382</v>
          </cell>
          <cell r="V92">
            <v>5.6367672648243214</v>
          </cell>
          <cell r="W92" t="str">
            <v>Соответствует</v>
          </cell>
          <cell r="X92" t="str">
            <v>отличное</v>
          </cell>
          <cell r="Y92">
            <v>0.1</v>
          </cell>
          <cell r="Z92">
            <v>6915667.9936733264</v>
          </cell>
          <cell r="AA92">
            <v>38699.876853236303</v>
          </cell>
          <cell r="AB92">
            <v>15.273670209624463</v>
          </cell>
          <cell r="AC92" t="str">
            <v>Не соответствует</v>
          </cell>
          <cell r="AD92" t="str">
            <v>Не рассчитывалась</v>
          </cell>
          <cell r="AE92" t="str">
            <v>Не рассчитывалась</v>
          </cell>
          <cell r="AF92" t="e">
            <v>#VALUE!</v>
          </cell>
          <cell r="AG92">
            <v>178.7</v>
          </cell>
          <cell r="AH92" t="str">
            <v>будет использоваться</v>
          </cell>
          <cell r="AI92">
            <v>0</v>
          </cell>
          <cell r="AL92">
            <v>2552236</v>
          </cell>
          <cell r="AM92" t="str">
            <v>По сроку службы</v>
          </cell>
        </row>
        <row r="93">
          <cell r="A93">
            <v>140</v>
          </cell>
          <cell r="B93">
            <v>315</v>
          </cell>
          <cell r="C93" t="str">
            <v>Свеклохранилище  ЛитерБ об.пл.1818,2 (Корпус для доращ. рем.телок (377) Ф№4) Кад№ 23:11:0607000:2139</v>
          </cell>
          <cell r="D93">
            <v>29219</v>
          </cell>
          <cell r="E93">
            <v>29219</v>
          </cell>
          <cell r="F93">
            <v>672485.46</v>
          </cell>
          <cell r="G93">
            <v>13.261762999999998</v>
          </cell>
          <cell r="H93">
            <v>8918342.7914659791</v>
          </cell>
          <cell r="I93">
            <v>36.027397260273972</v>
          </cell>
          <cell r="J93" t="str">
            <v>кирпичные, ж/б панели</v>
          </cell>
          <cell r="K93">
            <v>0</v>
          </cell>
          <cell r="L93">
            <v>60</v>
          </cell>
          <cell r="M93">
            <v>0.6004566210045662</v>
          </cell>
          <cell r="N93">
            <v>0</v>
          </cell>
          <cell r="O93">
            <v>0</v>
          </cell>
          <cell r="P93">
            <v>0.6004566210045662</v>
          </cell>
          <cell r="Q93">
            <v>191963.33999999997</v>
          </cell>
          <cell r="R93">
            <v>105.57878121218786</v>
          </cell>
          <cell r="S93" t="str">
            <v>Не соответствует</v>
          </cell>
          <cell r="T93">
            <v>3563265</v>
          </cell>
          <cell r="U93">
            <v>1959.7761522384776</v>
          </cell>
          <cell r="V93">
            <v>18.56221609813624</v>
          </cell>
          <cell r="W93" t="str">
            <v>Не соответствует</v>
          </cell>
          <cell r="X93" t="str">
            <v>хорошее</v>
          </cell>
          <cell r="Y93">
            <v>0.3</v>
          </cell>
          <cell r="Z93">
            <v>6242839.954026185</v>
          </cell>
          <cell r="AA93">
            <v>3433.5276394380071</v>
          </cell>
          <cell r="AB93">
            <v>32.521000905830178</v>
          </cell>
          <cell r="AC93" t="str">
            <v>Соответствует</v>
          </cell>
          <cell r="AD93" t="str">
            <v>Не рассчитывалась</v>
          </cell>
          <cell r="AE93" t="str">
            <v>Не рассчитывалась</v>
          </cell>
          <cell r="AF93" t="e">
            <v>#VALUE!</v>
          </cell>
          <cell r="AG93">
            <v>1818.2</v>
          </cell>
          <cell r="AH93" t="str">
            <v>будет использоваться</v>
          </cell>
          <cell r="AI93">
            <v>0</v>
          </cell>
          <cell r="AL93">
            <v>6242839.954026185</v>
          </cell>
          <cell r="AM93" t="str">
            <v>Экспертно</v>
          </cell>
        </row>
        <row r="94">
          <cell r="A94">
            <v>141</v>
          </cell>
          <cell r="B94">
            <v>366</v>
          </cell>
          <cell r="C94" t="str">
            <v>Свинарник маточник (Корпус-маточ. для свиней на 100 гол.СТФ ЛитерД) 850,4кв.м.Кад№ 23:11:0702000:769</v>
          </cell>
          <cell r="D94">
            <v>37240</v>
          </cell>
          <cell r="E94">
            <v>37240</v>
          </cell>
          <cell r="F94">
            <v>511744</v>
          </cell>
          <cell r="G94">
            <v>5.4199706314243752</v>
          </cell>
          <cell r="H94">
            <v>2773637.4508076357</v>
          </cell>
          <cell r="I94">
            <v>14.052054794520547</v>
          </cell>
          <cell r="J94" t="str">
            <v>каменные</v>
          </cell>
          <cell r="K94">
            <v>0</v>
          </cell>
          <cell r="L94">
            <v>60</v>
          </cell>
          <cell r="M94">
            <v>0.23420091324200912</v>
          </cell>
          <cell r="N94">
            <v>0</v>
          </cell>
          <cell r="O94">
            <v>0</v>
          </cell>
          <cell r="P94">
            <v>0.23420091324200909</v>
          </cell>
          <cell r="Q94">
            <v>369948.39</v>
          </cell>
          <cell r="R94">
            <v>435.0286806208843</v>
          </cell>
          <cell r="S94">
            <v>0</v>
          </cell>
          <cell r="T94">
            <v>2124049</v>
          </cell>
          <cell r="U94">
            <v>2497.7057855127</v>
          </cell>
          <cell r="V94">
            <v>5.7414738309849112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  <cell r="AA94" t="str">
            <v/>
          </cell>
          <cell r="AB94" t="e">
            <v>#VALUE!</v>
          </cell>
          <cell r="AC94">
            <v>0</v>
          </cell>
          <cell r="AD94" t="str">
            <v>Не рассчитывалась</v>
          </cell>
          <cell r="AE94" t="str">
            <v>Не рассчитывалась</v>
          </cell>
          <cell r="AF94" t="e">
            <v>#VALUE!</v>
          </cell>
          <cell r="AG94">
            <v>850.4</v>
          </cell>
          <cell r="AH94" t="str">
            <v>не будет использоваться</v>
          </cell>
          <cell r="AI94">
            <v>0</v>
          </cell>
          <cell r="AL94">
            <v>0</v>
          </cell>
          <cell r="AM94" t="str">
            <v>Не рассчитывалась</v>
          </cell>
        </row>
        <row r="95">
          <cell r="A95">
            <v>142</v>
          </cell>
          <cell r="B95">
            <v>322</v>
          </cell>
          <cell r="C95" t="str">
            <v>Семенохранилище 318 бр1 Об.S-2034,5 кв.м.  Литер А Кад№ 23:11:0607000:2198</v>
          </cell>
          <cell r="D95">
            <v>33222</v>
          </cell>
          <cell r="E95">
            <v>33222</v>
          </cell>
          <cell r="F95">
            <v>1999200</v>
          </cell>
          <cell r="G95">
            <v>13.261762999999998</v>
          </cell>
          <cell r="H95">
            <v>26512916.589599997</v>
          </cell>
          <cell r="I95">
            <v>25.06027397260274</v>
          </cell>
          <cell r="J95" t="str">
            <v>ж/б панели</v>
          </cell>
          <cell r="K95">
            <v>0</v>
          </cell>
          <cell r="L95">
            <v>50</v>
          </cell>
          <cell r="M95">
            <v>0.50120547945205485</v>
          </cell>
          <cell r="N95">
            <v>0</v>
          </cell>
          <cell r="O95">
            <v>0</v>
          </cell>
          <cell r="P95">
            <v>0.50120547945205485</v>
          </cell>
          <cell r="Q95">
            <v>1249500</v>
          </cell>
          <cell r="R95">
            <v>614.15581223887932</v>
          </cell>
          <cell r="S95" t="str">
            <v>Не соответствует</v>
          </cell>
          <cell r="T95">
            <v>13224498</v>
          </cell>
          <cell r="U95">
            <v>6500.1218972720571</v>
          </cell>
          <cell r="V95">
            <v>10.583831932773109</v>
          </cell>
          <cell r="W95" t="str">
            <v>Соответствует</v>
          </cell>
          <cell r="X95" t="str">
            <v>хорошее</v>
          </cell>
          <cell r="Y95">
            <v>0.4</v>
          </cell>
          <cell r="Z95">
            <v>15907749.953759998</v>
          </cell>
          <cell r="AA95">
            <v>7818.9972739051354</v>
          </cell>
          <cell r="AB95">
            <v>12.731292479999999</v>
          </cell>
          <cell r="AC95" t="str">
            <v>Соответствует</v>
          </cell>
          <cell r="AD95" t="str">
            <v>Не рассчитывалась</v>
          </cell>
          <cell r="AE95" t="str">
            <v>Не рассчитывалась</v>
          </cell>
          <cell r="AF95" t="e">
            <v>#VALUE!</v>
          </cell>
          <cell r="AG95">
            <v>2034.5</v>
          </cell>
          <cell r="AH95" t="str">
            <v>будет использоваться</v>
          </cell>
          <cell r="AI95">
            <v>0</v>
          </cell>
          <cell r="AL95">
            <v>13224498</v>
          </cell>
          <cell r="AM95" t="str">
            <v>По сроку службы</v>
          </cell>
        </row>
        <row r="96">
          <cell r="A96">
            <v>143</v>
          </cell>
          <cell r="B96">
            <v>329</v>
          </cell>
          <cell r="C96" t="str">
            <v>Сенохранилище 600т (Хранилище для сена на 600 т. Об.S-2029,5 МТФ №3 Литер Л) Кад№ 23:11:0607000:1983</v>
          </cell>
          <cell r="D96">
            <v>31031</v>
          </cell>
          <cell r="E96">
            <v>31031</v>
          </cell>
          <cell r="F96">
            <v>813591.58</v>
          </cell>
          <cell r="G96">
            <v>13.261762999999998</v>
          </cell>
          <cell r="H96">
            <v>10789658.712755539</v>
          </cell>
          <cell r="I96">
            <v>31.063013698630137</v>
          </cell>
          <cell r="J96" t="str">
            <v>ж/б блоки</v>
          </cell>
          <cell r="K96">
            <v>0</v>
          </cell>
          <cell r="L96">
            <v>50</v>
          </cell>
          <cell r="M96">
            <v>0.62126027397260275</v>
          </cell>
          <cell r="N96">
            <v>0</v>
          </cell>
          <cell r="O96">
            <v>0</v>
          </cell>
          <cell r="P96">
            <v>0.62126027397260275</v>
          </cell>
          <cell r="Q96">
            <v>0</v>
          </cell>
          <cell r="R96">
            <v>0</v>
          </cell>
          <cell r="S96" t="str">
            <v>Не соответствует</v>
          </cell>
          <cell r="T96">
            <v>4086472</v>
          </cell>
          <cell r="U96">
            <v>15615.101260985863</v>
          </cell>
          <cell r="V96" t="e">
            <v>#DIV/0!</v>
          </cell>
          <cell r="W96" t="str">
            <v>Соответствует</v>
          </cell>
          <cell r="X96" t="str">
            <v>хорошее</v>
          </cell>
          <cell r="Y96">
            <v>0.4</v>
          </cell>
          <cell r="Z96">
            <v>6473795.2276533227</v>
          </cell>
          <cell r="AA96">
            <v>24737.467434670703</v>
          </cell>
          <cell r="AB96" t="e">
            <v>#DIV/0!</v>
          </cell>
          <cell r="AC96" t="str">
            <v>Не соответствует</v>
          </cell>
          <cell r="AD96" t="str">
            <v>Не рассчитывалась</v>
          </cell>
          <cell r="AE96" t="str">
            <v>Не рассчитывалась</v>
          </cell>
          <cell r="AF96" t="e">
            <v>#VALUE!</v>
          </cell>
          <cell r="AG96">
            <v>261.7</v>
          </cell>
          <cell r="AH96" t="str">
            <v>будет использоваться</v>
          </cell>
          <cell r="AI96" t="str">
            <v>Уточнить состояние по фото</v>
          </cell>
          <cell r="AL96">
            <v>4086472</v>
          </cell>
          <cell r="AM96" t="str">
            <v>По сроку службы</v>
          </cell>
        </row>
        <row r="97">
          <cell r="A97">
            <v>144</v>
          </cell>
          <cell r="B97">
            <v>522</v>
          </cell>
          <cell r="C97" t="str">
            <v>Сепараторное отделение Об.пл.354,6 кв.м(Корпус сепар.отдел.454) Литер А,а,а1 Кад№ 23:11:0607000:2147</v>
          </cell>
          <cell r="D97">
            <v>22630</v>
          </cell>
          <cell r="E97">
            <v>22630</v>
          </cell>
          <cell r="F97">
            <v>83111</v>
          </cell>
          <cell r="G97">
            <v>13.261762999999998</v>
          </cell>
          <cell r="H97">
            <v>1102198.3846929998</v>
          </cell>
          <cell r="I97">
            <v>54.079452054794523</v>
          </cell>
          <cell r="J97" t="str">
            <v>пиленный камень</v>
          </cell>
          <cell r="K97">
            <v>0</v>
          </cell>
          <cell r="L97">
            <v>60</v>
          </cell>
          <cell r="M97">
            <v>0.8</v>
          </cell>
          <cell r="N97">
            <v>0</v>
          </cell>
          <cell r="O97">
            <v>0</v>
          </cell>
          <cell r="P97">
            <v>0.8</v>
          </cell>
          <cell r="Q97">
            <v>0</v>
          </cell>
          <cell r="R97">
            <v>0</v>
          </cell>
          <cell r="S97">
            <v>0</v>
          </cell>
          <cell r="T97">
            <v>220440</v>
          </cell>
          <cell r="U97">
            <v>621.65820642977997</v>
          </cell>
          <cell r="V97" t="e">
            <v>#DIV/0!</v>
          </cell>
          <cell r="W97">
            <v>0</v>
          </cell>
          <cell r="X97">
            <v>0</v>
          </cell>
          <cell r="Y97">
            <v>0</v>
          </cell>
          <cell r="Z97" t="str">
            <v/>
          </cell>
          <cell r="AA97" t="str">
            <v/>
          </cell>
          <cell r="AB97" t="e">
            <v>#VALUE!</v>
          </cell>
          <cell r="AC97">
            <v>0</v>
          </cell>
          <cell r="AD97" t="str">
            <v>Не рассчитывалась</v>
          </cell>
          <cell r="AE97" t="str">
            <v>Не рассчитывалась</v>
          </cell>
          <cell r="AF97" t="e">
            <v>#VALUE!</v>
          </cell>
          <cell r="AG97">
            <v>354.6</v>
          </cell>
          <cell r="AH97" t="str">
            <v>не будет использоваться</v>
          </cell>
          <cell r="AI97" t="str">
            <v>Уточнить состояние по фото</v>
          </cell>
          <cell r="AL97">
            <v>0</v>
          </cell>
          <cell r="AM97" t="str">
            <v>Не рассчитывалась</v>
          </cell>
        </row>
        <row r="98">
          <cell r="A98">
            <v>148</v>
          </cell>
          <cell r="B98">
            <v>320</v>
          </cell>
          <cell r="C98" t="str">
            <v>Склад АВМ на 2000т Об.пл. 1983 кв.м. (Склад на 2000 тонн (шиферный) СТФ) Усл № 23-23-27/037/2009-324</v>
          </cell>
          <cell r="D98">
            <v>29570</v>
          </cell>
          <cell r="E98">
            <v>29570</v>
          </cell>
          <cell r="F98">
            <v>104528</v>
          </cell>
          <cell r="G98">
            <v>13.261762999999998</v>
          </cell>
          <cell r="H98">
            <v>1386225.5628639997</v>
          </cell>
          <cell r="I98">
            <v>35.065753424657537</v>
          </cell>
          <cell r="J98" t="str">
            <v>панели, стены шиферные</v>
          </cell>
          <cell r="K98">
            <v>0</v>
          </cell>
          <cell r="L98">
            <v>12</v>
          </cell>
          <cell r="M98">
            <v>0.8</v>
          </cell>
          <cell r="N98">
            <v>0</v>
          </cell>
          <cell r="O98">
            <v>0</v>
          </cell>
          <cell r="P98">
            <v>0.8</v>
          </cell>
          <cell r="Q98">
            <v>65330.36</v>
          </cell>
          <cell r="R98">
            <v>32.945214321734746</v>
          </cell>
          <cell r="S98" t="str">
            <v>Не соответствует</v>
          </cell>
          <cell r="T98">
            <v>277245</v>
          </cell>
          <cell r="U98">
            <v>139.81089258698941</v>
          </cell>
          <cell r="V98">
            <v>4.2437390517976636</v>
          </cell>
          <cell r="W98" t="str">
            <v>Соответствует</v>
          </cell>
          <cell r="X98" t="str">
            <v>неудовлетворительное</v>
          </cell>
          <cell r="Y98">
            <v>0.7</v>
          </cell>
          <cell r="Z98">
            <v>415867.66885919997</v>
          </cell>
          <cell r="AA98">
            <v>209.71642403388805</v>
          </cell>
          <cell r="AB98">
            <v>6.3656111623937166</v>
          </cell>
          <cell r="AC98" t="str">
            <v>Соответствует</v>
          </cell>
          <cell r="AD98" t="str">
            <v>Не рассчитывалась</v>
          </cell>
          <cell r="AE98" t="str">
            <v>Не рассчитывалась</v>
          </cell>
          <cell r="AF98" t="e">
            <v>#VALUE!</v>
          </cell>
          <cell r="AG98">
            <v>1983</v>
          </cell>
          <cell r="AH98" t="str">
            <v>будет использоваться</v>
          </cell>
          <cell r="AI98">
            <v>0</v>
          </cell>
          <cell r="AL98">
            <v>277245</v>
          </cell>
          <cell r="AM98" t="str">
            <v>По сроку службы</v>
          </cell>
        </row>
        <row r="99">
          <cell r="A99">
            <v>149</v>
          </cell>
          <cell r="B99">
            <v>428</v>
          </cell>
          <cell r="C99" t="str">
            <v>Склад арочник на 1500 тонн (198) ЦЗС Об.S-763,7 кв.м. Литер Ж  кад.№ 23:11:0607000:1857</v>
          </cell>
          <cell r="D99">
            <v>37605</v>
          </cell>
          <cell r="E99">
            <v>37605</v>
          </cell>
          <cell r="F99">
            <v>334326</v>
          </cell>
          <cell r="G99">
            <v>4.5511713933415532</v>
          </cell>
          <cell r="H99">
            <v>1521574.9272503082</v>
          </cell>
          <cell r="I99">
            <v>13.052054794520547</v>
          </cell>
          <cell r="J99" t="str">
            <v>кирпичные</v>
          </cell>
          <cell r="K99">
            <v>0</v>
          </cell>
          <cell r="L99">
            <v>60</v>
          </cell>
          <cell r="M99">
            <v>0.21753424657534245</v>
          </cell>
          <cell r="N99">
            <v>0</v>
          </cell>
          <cell r="O99">
            <v>0</v>
          </cell>
          <cell r="P99">
            <v>0.21753424657534248</v>
          </cell>
          <cell r="Q99">
            <v>225670.68</v>
          </cell>
          <cell r="R99">
            <v>295.4965038627733</v>
          </cell>
          <cell r="S99" t="str">
            <v>Не соответствует</v>
          </cell>
          <cell r="T99">
            <v>1190580</v>
          </cell>
          <cell r="U99">
            <v>1558.9629435642266</v>
          </cell>
          <cell r="V99">
            <v>5.2757407386728312</v>
          </cell>
          <cell r="W99" t="str">
            <v>Соответствует</v>
          </cell>
          <cell r="X99" t="str">
            <v>хорошее</v>
          </cell>
          <cell r="Y99">
            <v>0.3</v>
          </cell>
          <cell r="Z99">
            <v>1065102.4490752157</v>
          </cell>
          <cell r="AA99">
            <v>1394.6607949132062</v>
          </cell>
          <cell r="AB99">
            <v>4.719720120820373</v>
          </cell>
          <cell r="AC99" t="str">
            <v>Соответствует</v>
          </cell>
          <cell r="AD99" t="str">
            <v>Не рассчитывалась</v>
          </cell>
          <cell r="AE99" t="str">
            <v>Не рассчитывалась</v>
          </cell>
          <cell r="AF99" t="e">
            <v>#VALUE!</v>
          </cell>
          <cell r="AG99">
            <v>763.7</v>
          </cell>
          <cell r="AH99" t="str">
            <v>будет использоваться</v>
          </cell>
          <cell r="AI99">
            <v>0</v>
          </cell>
          <cell r="AL99">
            <v>1065102.4490752157</v>
          </cell>
          <cell r="AM99" t="str">
            <v>Экспертно</v>
          </cell>
        </row>
        <row r="100">
          <cell r="A100">
            <v>150</v>
          </cell>
          <cell r="B100">
            <v>337</v>
          </cell>
          <cell r="C100" t="str">
            <v>Склад запчастей   260 Об.S-131,6 Литер Д кв.м. кад№  23:11:0701142:21</v>
          </cell>
          <cell r="D100">
            <v>24456</v>
          </cell>
          <cell r="E100">
            <v>19343</v>
          </cell>
          <cell r="F100">
            <v>343454</v>
          </cell>
          <cell r="G100">
            <v>13.261762999999998</v>
          </cell>
          <cell r="H100">
            <v>4554805.5494019995</v>
          </cell>
          <cell r="I100">
            <v>63.084931506849315</v>
          </cell>
          <cell r="J100" t="str">
            <v>каменные</v>
          </cell>
          <cell r="K100">
            <v>0</v>
          </cell>
          <cell r="L100">
            <v>60</v>
          </cell>
          <cell r="M100">
            <v>0.8</v>
          </cell>
          <cell r="N100">
            <v>0</v>
          </cell>
          <cell r="O100">
            <v>0</v>
          </cell>
          <cell r="P100">
            <v>0.8</v>
          </cell>
          <cell r="Q100">
            <v>0</v>
          </cell>
          <cell r="R100">
            <v>0</v>
          </cell>
          <cell r="S100" t="str">
            <v>Не соответствует</v>
          </cell>
          <cell r="T100">
            <v>910961</v>
          </cell>
          <cell r="U100">
            <v>6922.1960486322196</v>
          </cell>
          <cell r="V100" t="e">
            <v>#DIV/0!</v>
          </cell>
          <cell r="W100" t="str">
            <v>Соответствует</v>
          </cell>
          <cell r="X100" t="str">
            <v>хорошее</v>
          </cell>
          <cell r="Y100">
            <v>0.3</v>
          </cell>
          <cell r="Z100">
            <v>3188363.8845813996</v>
          </cell>
          <cell r="AA100">
            <v>24227.689092563829</v>
          </cell>
          <cell r="AB100" t="e">
            <v>#DIV/0!</v>
          </cell>
          <cell r="AC100" t="str">
            <v>Не соответствует</v>
          </cell>
          <cell r="AD100" t="str">
            <v>Не рассчитывалась</v>
          </cell>
          <cell r="AE100" t="str">
            <v>Не рассчитывалась</v>
          </cell>
          <cell r="AF100" t="e">
            <v>#VALUE!</v>
          </cell>
          <cell r="AG100">
            <v>131.6</v>
          </cell>
          <cell r="AH100" t="str">
            <v>будет использоваться</v>
          </cell>
          <cell r="AI100">
            <v>0</v>
          </cell>
          <cell r="AL100">
            <v>910961</v>
          </cell>
          <cell r="AM100" t="str">
            <v>По сроку службы</v>
          </cell>
        </row>
        <row r="101">
          <cell r="A101">
            <v>151</v>
          </cell>
          <cell r="B101">
            <v>338</v>
          </cell>
          <cell r="C101" t="str">
            <v>Склад об.S-641,8 кв.м. (Склад стройбригады 54 СМУ)  Литер Б Кад№ 23:11:0603070:177</v>
          </cell>
          <cell r="D101">
            <v>33953</v>
          </cell>
          <cell r="E101">
            <v>33953</v>
          </cell>
          <cell r="F101">
            <v>348655</v>
          </cell>
          <cell r="G101">
            <v>13.261762999999998</v>
          </cell>
          <cell r="H101">
            <v>4623779.9787649997</v>
          </cell>
          <cell r="I101">
            <v>23.057534246575344</v>
          </cell>
          <cell r="J101" t="str">
            <v>ж/б панели</v>
          </cell>
          <cell r="K101">
            <v>0</v>
          </cell>
          <cell r="L101">
            <v>50</v>
          </cell>
          <cell r="M101">
            <v>0.46115068493150685</v>
          </cell>
          <cell r="N101">
            <v>0</v>
          </cell>
          <cell r="O101">
            <v>0</v>
          </cell>
          <cell r="P101">
            <v>0.46115068493150679</v>
          </cell>
          <cell r="Q101">
            <v>217910.47999999998</v>
          </cell>
          <cell r="R101">
            <v>339.53019632284202</v>
          </cell>
          <cell r="S101" t="str">
            <v>Не соответствует</v>
          </cell>
          <cell r="T101">
            <v>2491521</v>
          </cell>
          <cell r="U101">
            <v>3882.0832034901841</v>
          </cell>
          <cell r="V101">
            <v>11.433690568714272</v>
          </cell>
          <cell r="W101" t="str">
            <v>Не соответствует</v>
          </cell>
          <cell r="X101" t="str">
            <v>хорошее</v>
          </cell>
          <cell r="Y101">
            <v>0.2</v>
          </cell>
          <cell r="Z101">
            <v>3699023.9830120001</v>
          </cell>
          <cell r="AA101">
            <v>5763.5150872732947</v>
          </cell>
          <cell r="AB101">
            <v>16.974970561360795</v>
          </cell>
          <cell r="AC101" t="str">
            <v>Соответствует</v>
          </cell>
          <cell r="AD101" t="str">
            <v>Не рассчитывалась</v>
          </cell>
          <cell r="AE101" t="str">
            <v>Не рассчитывалась</v>
          </cell>
          <cell r="AF101" t="e">
            <v>#VALUE!</v>
          </cell>
          <cell r="AG101">
            <v>641.79999999999995</v>
          </cell>
          <cell r="AH101" t="str">
            <v>будет использоваться</v>
          </cell>
          <cell r="AI101">
            <v>0</v>
          </cell>
          <cell r="AL101">
            <v>3699023.9830120001</v>
          </cell>
          <cell r="AM101" t="str">
            <v>Экспертно</v>
          </cell>
        </row>
        <row r="102">
          <cell r="A102">
            <v>152</v>
          </cell>
          <cell r="B102">
            <v>335</v>
          </cell>
          <cell r="C102" t="str">
            <v>Склад стройматериалов 42 СМУ Об.S-75,8 кв.м. Литер Ж  Кад№ 23:11:0603070:101</v>
          </cell>
          <cell r="D102">
            <v>21534</v>
          </cell>
          <cell r="E102">
            <v>21534</v>
          </cell>
          <cell r="F102">
            <v>21659</v>
          </cell>
          <cell r="G102">
            <v>13.261762999999998</v>
          </cell>
          <cell r="H102">
            <v>287236.52481699997</v>
          </cell>
          <cell r="I102">
            <v>57.082191780821915</v>
          </cell>
          <cell r="J102" t="str">
            <v>бутовые</v>
          </cell>
          <cell r="K102">
            <v>0</v>
          </cell>
          <cell r="L102">
            <v>60</v>
          </cell>
          <cell r="M102">
            <v>0.8</v>
          </cell>
          <cell r="N102">
            <v>0</v>
          </cell>
          <cell r="O102">
            <v>0</v>
          </cell>
          <cell r="P102">
            <v>0.8</v>
          </cell>
          <cell r="Q102">
            <v>0</v>
          </cell>
          <cell r="R102">
            <v>0</v>
          </cell>
          <cell r="S102" t="str">
            <v>Не соответствует</v>
          </cell>
          <cell r="T102">
            <v>57447</v>
          </cell>
          <cell r="U102">
            <v>757.87598944591036</v>
          </cell>
          <cell r="V102" t="e">
            <v>#DIV/0!</v>
          </cell>
          <cell r="W102" t="str">
            <v>Не соответствует</v>
          </cell>
          <cell r="X102" t="str">
            <v>хорошее</v>
          </cell>
          <cell r="Y102">
            <v>0.4</v>
          </cell>
          <cell r="Z102">
            <v>172341.91489019999</v>
          </cell>
          <cell r="AA102">
            <v>2273.6400381292874</v>
          </cell>
          <cell r="AB102" t="e">
            <v>#DIV/0!</v>
          </cell>
          <cell r="AC102" t="str">
            <v>Соответствует</v>
          </cell>
          <cell r="AD102" t="str">
            <v>Не рассчитывалась</v>
          </cell>
          <cell r="AE102" t="str">
            <v>Не рассчитывалась</v>
          </cell>
          <cell r="AF102" t="e">
            <v>#VALUE!</v>
          </cell>
          <cell r="AG102">
            <v>75.8</v>
          </cell>
          <cell r="AH102" t="str">
            <v>будет использоваться</v>
          </cell>
          <cell r="AI102" t="str">
            <v>Уточнить состояние по фото</v>
          </cell>
          <cell r="AL102">
            <v>172341.91489019999</v>
          </cell>
          <cell r="AM102" t="str">
            <v>Экспертно</v>
          </cell>
        </row>
        <row r="103">
          <cell r="A103">
            <v>153</v>
          </cell>
          <cell r="B103">
            <v>431</v>
          </cell>
          <cell r="C103" t="str">
            <v>Столярная мастерская (52) СМУ Об.S-273 кв.м. Литер Д Кад№ 23:11:0603070:179</v>
          </cell>
          <cell r="D103">
            <v>31396</v>
          </cell>
          <cell r="E103">
            <v>31396</v>
          </cell>
          <cell r="F103">
            <v>51673</v>
          </cell>
          <cell r="G103">
            <v>13.261762999999998</v>
          </cell>
          <cell r="H103">
            <v>685275.07949899987</v>
          </cell>
          <cell r="I103">
            <v>30.063013698630137</v>
          </cell>
          <cell r="J103" t="str">
            <v>каменные</v>
          </cell>
          <cell r="K103">
            <v>0</v>
          </cell>
          <cell r="L103">
            <v>60</v>
          </cell>
          <cell r="M103">
            <v>0.50105022831050228</v>
          </cell>
          <cell r="N103">
            <v>0</v>
          </cell>
          <cell r="O103">
            <v>0</v>
          </cell>
          <cell r="P103">
            <v>0.50105022831050228</v>
          </cell>
          <cell r="Q103">
            <v>14210.199999999997</v>
          </cell>
          <cell r="R103">
            <v>52.052014652014641</v>
          </cell>
          <cell r="S103" t="str">
            <v>Не соответствует</v>
          </cell>
          <cell r="T103">
            <v>341918</v>
          </cell>
          <cell r="U103">
            <v>1252.4468864468865</v>
          </cell>
          <cell r="V103">
            <v>24.061448818454355</v>
          </cell>
          <cell r="W103" t="str">
            <v>Соответствует</v>
          </cell>
          <cell r="X103" t="str">
            <v>хорошее</v>
          </cell>
          <cell r="Y103">
            <v>0.4</v>
          </cell>
          <cell r="Z103">
            <v>411165.04769939993</v>
          </cell>
          <cell r="AA103">
            <v>1506.0990758219777</v>
          </cell>
          <cell r="AB103">
            <v>28.934501111835161</v>
          </cell>
          <cell r="AC103" t="str">
            <v>Соответствует</v>
          </cell>
          <cell r="AD103" t="str">
            <v>Не рассчитывалась</v>
          </cell>
          <cell r="AE103" t="str">
            <v>Не рассчитывалась</v>
          </cell>
          <cell r="AF103" t="e">
            <v>#VALUE!</v>
          </cell>
          <cell r="AG103">
            <v>273</v>
          </cell>
          <cell r="AH103" t="str">
            <v>будет использоваться</v>
          </cell>
          <cell r="AI103">
            <v>0</v>
          </cell>
          <cell r="AL103">
            <v>341918</v>
          </cell>
          <cell r="AM103" t="str">
            <v>По сроку службы</v>
          </cell>
        </row>
        <row r="104">
          <cell r="A104">
            <v>154</v>
          </cell>
          <cell r="B104">
            <v>343</v>
          </cell>
          <cell r="C104" t="str">
            <v>Телятник на 1000 гол к-5, об.пл. 3580 кв.м. №186 Ф№4 Литер Ж Кад№ 23:11:0702000:860</v>
          </cell>
          <cell r="D104">
            <v>29935</v>
          </cell>
          <cell r="E104">
            <v>29935</v>
          </cell>
          <cell r="F104">
            <v>1334874.06</v>
          </cell>
          <cell r="G104">
            <v>13.261762999999998</v>
          </cell>
          <cell r="H104">
            <v>17702783.41856778</v>
          </cell>
          <cell r="I104">
            <v>34.065753424657537</v>
          </cell>
          <cell r="J104" t="str">
            <v>ж/б панели</v>
          </cell>
          <cell r="K104">
            <v>0</v>
          </cell>
          <cell r="L104">
            <v>50</v>
          </cell>
          <cell r="M104">
            <v>0.68131506849315071</v>
          </cell>
          <cell r="N104">
            <v>0</v>
          </cell>
          <cell r="O104">
            <v>0</v>
          </cell>
          <cell r="P104">
            <v>0.68131506849315071</v>
          </cell>
          <cell r="Q104">
            <v>909506.38000000012</v>
          </cell>
          <cell r="R104">
            <v>254.05206145251401</v>
          </cell>
          <cell r="S104" t="str">
            <v>Не соответствует</v>
          </cell>
          <cell r="T104">
            <v>5641610</v>
          </cell>
          <cell r="U104">
            <v>1575.8687150837989</v>
          </cell>
          <cell r="V104">
            <v>6.2029361465281854</v>
          </cell>
          <cell r="W104" t="str">
            <v>Не соответствует</v>
          </cell>
          <cell r="X104" t="str">
            <v>хорошее</v>
          </cell>
          <cell r="Y104">
            <v>0.4</v>
          </cell>
          <cell r="Z104">
            <v>10621670.051140668</v>
          </cell>
          <cell r="AA104">
            <v>2966.9469416594043</v>
          </cell>
          <cell r="AB104">
            <v>11.678499771646095</v>
          </cell>
          <cell r="AC104" t="str">
            <v>Соответствует</v>
          </cell>
          <cell r="AD104" t="str">
            <v>Не рассчитывалась</v>
          </cell>
          <cell r="AE104" t="str">
            <v>Не рассчитывалась</v>
          </cell>
          <cell r="AF104" t="e">
            <v>#VALUE!</v>
          </cell>
          <cell r="AG104">
            <v>3580</v>
          </cell>
          <cell r="AH104" t="str">
            <v>будет использоваться</v>
          </cell>
          <cell r="AI104">
            <v>0</v>
          </cell>
          <cell r="AL104">
            <v>10621670.051140668</v>
          </cell>
          <cell r="AM104" t="str">
            <v>Экспертно</v>
          </cell>
        </row>
        <row r="105">
          <cell r="A105">
            <v>155</v>
          </cell>
          <cell r="B105">
            <v>346</v>
          </cell>
          <cell r="C105" t="str">
            <v>Телятник на 150 гол,к-1 №181 Ф№4 Об.пл. 1043 кв.м. Литер А Кад№  23:11:0702000:866</v>
          </cell>
          <cell r="D105">
            <v>20804</v>
          </cell>
          <cell r="E105">
            <v>20804</v>
          </cell>
          <cell r="F105">
            <v>704364</v>
          </cell>
          <cell r="G105">
            <v>13.261762999999998</v>
          </cell>
          <cell r="H105">
            <v>9341108.4337319992</v>
          </cell>
          <cell r="I105">
            <v>59.082191780821915</v>
          </cell>
          <cell r="J105" t="str">
            <v>камни бутовые</v>
          </cell>
          <cell r="K105">
            <v>0</v>
          </cell>
          <cell r="L105">
            <v>60</v>
          </cell>
          <cell r="M105">
            <v>0.8</v>
          </cell>
          <cell r="N105">
            <v>0</v>
          </cell>
          <cell r="O105">
            <v>0</v>
          </cell>
          <cell r="P105">
            <v>0.8</v>
          </cell>
          <cell r="Q105">
            <v>440227.24</v>
          </cell>
          <cell r="R105">
            <v>422.07789069990412</v>
          </cell>
          <cell r="S105">
            <v>0</v>
          </cell>
          <cell r="T105">
            <v>1868222</v>
          </cell>
          <cell r="U105">
            <v>1791.2003835091084</v>
          </cell>
          <cell r="V105">
            <v>4.2437673779568934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 t="str">
            <v/>
          </cell>
          <cell r="AB105" t="e">
            <v>#VALUE!</v>
          </cell>
          <cell r="AC105">
            <v>0</v>
          </cell>
          <cell r="AD105" t="str">
            <v>Не рассчитывалась</v>
          </cell>
          <cell r="AE105" t="str">
            <v>Не рассчитывалась</v>
          </cell>
          <cell r="AF105" t="e">
            <v>#VALUE!</v>
          </cell>
          <cell r="AG105">
            <v>1043</v>
          </cell>
          <cell r="AH105" t="str">
            <v>не будет использоваться</v>
          </cell>
          <cell r="AI105">
            <v>0</v>
          </cell>
          <cell r="AL105">
            <v>0</v>
          </cell>
          <cell r="AM105" t="str">
            <v>Не рассчитывалась</v>
          </cell>
        </row>
        <row r="106">
          <cell r="A106">
            <v>156</v>
          </cell>
          <cell r="B106">
            <v>344</v>
          </cell>
          <cell r="C106" t="str">
            <v>Телятник на 200 гол, к3 №183 Ф№4 Об.пл. 499,8 кв.м.  Литер Б Кад № 23:11:0702000:862</v>
          </cell>
          <cell r="D106">
            <v>28109</v>
          </cell>
          <cell r="E106">
            <v>28109</v>
          </cell>
          <cell r="F106">
            <v>461146.8</v>
          </cell>
          <cell r="G106">
            <v>13.261762999999998</v>
          </cell>
          <cell r="H106">
            <v>6115619.5698083993</v>
          </cell>
          <cell r="I106">
            <v>39.06849315068493</v>
          </cell>
          <cell r="J106" t="str">
            <v>кирпичные</v>
          </cell>
          <cell r="K106">
            <v>0</v>
          </cell>
          <cell r="L106">
            <v>60</v>
          </cell>
          <cell r="M106">
            <v>0.65114155251141548</v>
          </cell>
          <cell r="N106">
            <v>0</v>
          </cell>
          <cell r="O106">
            <v>0</v>
          </cell>
          <cell r="P106">
            <v>0.65114155251141548</v>
          </cell>
          <cell r="Q106">
            <v>288216.76</v>
          </cell>
          <cell r="R106">
            <v>576.66418567426967</v>
          </cell>
          <cell r="S106" t="str">
            <v>Не соответствует</v>
          </cell>
          <cell r="T106">
            <v>2133486</v>
          </cell>
          <cell r="U106">
            <v>4268.6794717887151</v>
          </cell>
          <cell r="V106">
            <v>7.4023661913346048</v>
          </cell>
          <cell r="W106" t="str">
            <v>Соответствует</v>
          </cell>
          <cell r="X106" t="str">
            <v>хорошее</v>
          </cell>
          <cell r="Y106">
            <v>0.3</v>
          </cell>
          <cell r="Z106">
            <v>4280933.6988658793</v>
          </cell>
          <cell r="AA106">
            <v>8565.2935151378133</v>
          </cell>
          <cell r="AB106">
            <v>14.85317404465264</v>
          </cell>
          <cell r="AC106" t="str">
            <v>Не соответствует</v>
          </cell>
          <cell r="AD106">
            <v>3275818</v>
          </cell>
          <cell r="AE106">
            <v>6554.2577030812326</v>
          </cell>
          <cell r="AF106">
            <v>11.365813702159445</v>
          </cell>
          <cell r="AG106">
            <v>499.8</v>
          </cell>
          <cell r="AH106" t="str">
            <v>будет использоваться</v>
          </cell>
          <cell r="AI106">
            <v>0</v>
          </cell>
          <cell r="AL106">
            <v>2133486</v>
          </cell>
          <cell r="AM106" t="str">
            <v>По сроку службы</v>
          </cell>
        </row>
        <row r="107">
          <cell r="A107">
            <v>157</v>
          </cell>
          <cell r="B107">
            <v>347</v>
          </cell>
          <cell r="C107" t="str">
            <v>Телятник на 200 гол,к-2№182 Ф№4 об.пл 478,2 кв.м. Литер В Кад№ 23:11:0702000:861</v>
          </cell>
          <cell r="D107">
            <v>22995</v>
          </cell>
          <cell r="E107">
            <v>22995</v>
          </cell>
          <cell r="F107">
            <v>171740</v>
          </cell>
          <cell r="G107">
            <v>13.261762999999998</v>
          </cell>
          <cell r="H107">
            <v>2277575.1776199997</v>
          </cell>
          <cell r="I107">
            <v>53.079452054794523</v>
          </cell>
          <cell r="J107" t="str">
            <v>кирпичные</v>
          </cell>
          <cell r="K107">
            <v>0</v>
          </cell>
          <cell r="L107">
            <v>60</v>
          </cell>
          <cell r="M107">
            <v>0.8</v>
          </cell>
          <cell r="N107">
            <v>0</v>
          </cell>
          <cell r="O107">
            <v>0</v>
          </cell>
          <cell r="P107">
            <v>0.8</v>
          </cell>
          <cell r="Q107">
            <v>107337.72</v>
          </cell>
          <cell r="R107">
            <v>224.46198243412798</v>
          </cell>
          <cell r="S107" t="str">
            <v>Не соответствует</v>
          </cell>
          <cell r="T107">
            <v>455515</v>
          </cell>
          <cell r="U107">
            <v>952.56168966959433</v>
          </cell>
          <cell r="V107">
            <v>4.2437551310014783</v>
          </cell>
          <cell r="W107" t="str">
            <v>Не соответствует</v>
          </cell>
          <cell r="X107" t="str">
            <v>хорошее</v>
          </cell>
          <cell r="Y107">
            <v>0.3</v>
          </cell>
          <cell r="Z107">
            <v>1594302.6243339998</v>
          </cell>
          <cell r="AA107">
            <v>3333.9661738477621</v>
          </cell>
          <cell r="AB107">
            <v>14.853144116849135</v>
          </cell>
          <cell r="AC107" t="str">
            <v>Соответствует</v>
          </cell>
          <cell r="AD107" t="str">
            <v>Не рассчитывалась</v>
          </cell>
          <cell r="AE107" t="str">
            <v>Не рассчитывалась</v>
          </cell>
          <cell r="AF107" t="e">
            <v>#VALUE!</v>
          </cell>
          <cell r="AG107">
            <v>478.2</v>
          </cell>
          <cell r="AH107" t="str">
            <v>будет использоваться</v>
          </cell>
          <cell r="AI107" t="str">
            <v>Уточнить состояние по фото</v>
          </cell>
          <cell r="AL107">
            <v>1594302.6243339998</v>
          </cell>
          <cell r="AM107" t="str">
            <v>Экспертно</v>
          </cell>
        </row>
        <row r="108">
          <cell r="A108">
            <v>158</v>
          </cell>
          <cell r="B108">
            <v>345</v>
          </cell>
          <cell r="C108" t="str">
            <v>Телятник на 400 гол,к-4 №184 Ф№4  об.пл. 1778,8 кв.м. Литер Д Кад№ 23:11:0702000:864</v>
          </cell>
          <cell r="D108">
            <v>28839</v>
          </cell>
          <cell r="E108">
            <v>28839</v>
          </cell>
          <cell r="F108">
            <v>1539843.73</v>
          </cell>
          <cell r="G108">
            <v>13.261762999999998</v>
          </cell>
          <cell r="H108">
            <v>20421042.604295988</v>
          </cell>
          <cell r="I108">
            <v>37.06849315068493</v>
          </cell>
          <cell r="J108" t="str">
            <v>ж/б панели</v>
          </cell>
          <cell r="K108">
            <v>0</v>
          </cell>
          <cell r="L108">
            <v>50</v>
          </cell>
          <cell r="M108">
            <v>0.74136986301369856</v>
          </cell>
          <cell r="N108">
            <v>0</v>
          </cell>
          <cell r="O108">
            <v>0</v>
          </cell>
          <cell r="P108">
            <v>0.74136986301369856</v>
          </cell>
          <cell r="Q108">
            <v>950775.97</v>
          </cell>
          <cell r="R108">
            <v>534.50414324263545</v>
          </cell>
          <cell r="S108" t="str">
            <v>Не соответствует</v>
          </cell>
          <cell r="T108">
            <v>5281497</v>
          </cell>
          <cell r="U108">
            <v>2969.1348099842589</v>
          </cell>
          <cell r="V108">
            <v>5.5549331984063501</v>
          </cell>
          <cell r="W108" t="str">
            <v>Соответствует</v>
          </cell>
          <cell r="X108" t="str">
            <v>хорошее</v>
          </cell>
          <cell r="Y108">
            <v>0.4</v>
          </cell>
          <cell r="Z108">
            <v>12252625.562577592</v>
          </cell>
          <cell r="AA108">
            <v>6888.1411977611833</v>
          </cell>
          <cell r="AB108">
            <v>12.886974375864371</v>
          </cell>
          <cell r="AC108" t="str">
            <v>Не соответствует</v>
          </cell>
          <cell r="AD108" t="str">
            <v>Не рассчитывалась</v>
          </cell>
          <cell r="AE108" t="str">
            <v>Не рассчитывалась</v>
          </cell>
          <cell r="AF108" t="e">
            <v>#VALUE!</v>
          </cell>
          <cell r="AG108">
            <v>1778.8</v>
          </cell>
          <cell r="AH108" t="str">
            <v>будет использоваться</v>
          </cell>
          <cell r="AI108">
            <v>0</v>
          </cell>
          <cell r="AL108">
            <v>5281497</v>
          </cell>
          <cell r="AM108" t="str">
            <v>По сроку службы</v>
          </cell>
        </row>
        <row r="109">
          <cell r="A109">
            <v>160</v>
          </cell>
          <cell r="B109">
            <v>672</v>
          </cell>
          <cell r="C109" t="str">
            <v>Хранилище для сена МТФ №4    Литер:К Об.S-2090,8 кв.м.Кад№ 23:11:0607000:2144</v>
          </cell>
          <cell r="D109">
            <v>28474</v>
          </cell>
          <cell r="E109">
            <v>28474</v>
          </cell>
          <cell r="F109">
            <v>591300</v>
          </cell>
          <cell r="G109">
            <v>13.261762999999998</v>
          </cell>
          <cell r="H109">
            <v>7841680.4618999986</v>
          </cell>
          <cell r="I109">
            <v>38.06849315068493</v>
          </cell>
          <cell r="J109" t="str">
            <v>ж/б блоки</v>
          </cell>
          <cell r="K109">
            <v>0</v>
          </cell>
          <cell r="L109">
            <v>50</v>
          </cell>
          <cell r="M109">
            <v>0.76136986301369858</v>
          </cell>
          <cell r="N109">
            <v>0</v>
          </cell>
          <cell r="O109">
            <v>0</v>
          </cell>
          <cell r="P109">
            <v>0.76136986301369858</v>
          </cell>
          <cell r="Q109">
            <v>0</v>
          </cell>
          <cell r="R109">
            <v>0</v>
          </cell>
          <cell r="S109" t="str">
            <v>Не соответствует</v>
          </cell>
          <cell r="T109">
            <v>1871261</v>
          </cell>
          <cell r="U109">
            <v>894.99760857088188</v>
          </cell>
          <cell r="V109" t="e">
            <v>#DIV/0!</v>
          </cell>
          <cell r="W109" t="str">
            <v>Не соответствует</v>
          </cell>
          <cell r="X109" t="str">
            <v>удовлетворительное</v>
          </cell>
          <cell r="Y109">
            <v>0.55000000000000004</v>
          </cell>
          <cell r="Z109">
            <v>3528756.2078549992</v>
          </cell>
          <cell r="AA109">
            <v>1687.7540691864353</v>
          </cell>
          <cell r="AB109" t="e">
            <v>#DIV/0!</v>
          </cell>
          <cell r="AC109" t="str">
            <v>Соответствует</v>
          </cell>
          <cell r="AD109" t="str">
            <v>Не рассчитывалась</v>
          </cell>
          <cell r="AE109" t="str">
            <v>Не рассчитывалась</v>
          </cell>
          <cell r="AF109" t="e">
            <v>#VALUE!</v>
          </cell>
          <cell r="AG109">
            <v>2090.8000000000002</v>
          </cell>
          <cell r="AH109" t="str">
            <v>будет использоваться</v>
          </cell>
          <cell r="AI109" t="str">
            <v>Уточнить состояние по фото</v>
          </cell>
          <cell r="AL109">
            <v>3528756.2078549992</v>
          </cell>
          <cell r="AM109" t="str">
            <v>Экспертно</v>
          </cell>
        </row>
        <row r="110">
          <cell r="A110">
            <v>161</v>
          </cell>
          <cell r="B110">
            <v>330</v>
          </cell>
          <cell r="C110" t="str">
            <v>Хранилище для сена на 1000 тонн №187 Ф№4  Литер З Об.S-2060,3 Кад№ 23:11:0607000:2143</v>
          </cell>
          <cell r="D110">
            <v>30300</v>
          </cell>
          <cell r="E110">
            <v>30300</v>
          </cell>
          <cell r="F110">
            <v>1013354</v>
          </cell>
          <cell r="G110">
            <v>13.261762999999998</v>
          </cell>
          <cell r="H110">
            <v>13438860.583101999</v>
          </cell>
          <cell r="I110">
            <v>33.065753424657537</v>
          </cell>
          <cell r="J110" t="str">
            <v>ж/б блоки</v>
          </cell>
          <cell r="K110">
            <v>0</v>
          </cell>
          <cell r="L110">
            <v>50</v>
          </cell>
          <cell r="M110">
            <v>0.66131506849315069</v>
          </cell>
          <cell r="N110">
            <v>0</v>
          </cell>
          <cell r="O110">
            <v>0</v>
          </cell>
          <cell r="P110">
            <v>0.66131506849315069</v>
          </cell>
          <cell r="Q110">
            <v>552441.76</v>
          </cell>
          <cell r="R110">
            <v>268.13656263650921</v>
          </cell>
          <cell r="S110" t="str">
            <v>Не соответствует</v>
          </cell>
          <cell r="T110">
            <v>4551540</v>
          </cell>
          <cell r="U110">
            <v>2209.1637140222297</v>
          </cell>
          <cell r="V110">
            <v>8.2389499302152682</v>
          </cell>
          <cell r="W110" t="str">
            <v>Не соответствует</v>
          </cell>
          <cell r="X110" t="str">
            <v>неудовлетворительное</v>
          </cell>
          <cell r="Y110">
            <v>0.8</v>
          </cell>
          <cell r="Z110">
            <v>2687772.1166203991</v>
          </cell>
          <cell r="AA110">
            <v>1304.553762374605</v>
          </cell>
          <cell r="AB110">
            <v>4.8652587679475916</v>
          </cell>
          <cell r="AC110" t="str">
            <v>Соответствует</v>
          </cell>
          <cell r="AD110" t="str">
            <v>Не рассчитывалась</v>
          </cell>
          <cell r="AE110" t="str">
            <v>Не рассчитывалась</v>
          </cell>
          <cell r="AF110" t="e">
            <v>#VALUE!</v>
          </cell>
          <cell r="AG110">
            <v>2060.3000000000002</v>
          </cell>
          <cell r="AH110" t="str">
            <v>будет использоваться</v>
          </cell>
          <cell r="AI110">
            <v>0</v>
          </cell>
          <cell r="AL110">
            <v>2687772.1166203991</v>
          </cell>
          <cell r="AM110" t="str">
            <v>Экспертно</v>
          </cell>
        </row>
        <row r="111">
          <cell r="A111">
            <v>162</v>
          </cell>
          <cell r="B111">
            <v>575</v>
          </cell>
          <cell r="C111" t="str">
            <v>Авто-дорога с гравийным покрытием   477</v>
          </cell>
          <cell r="D111">
            <v>29570</v>
          </cell>
          <cell r="E111">
            <v>29570</v>
          </cell>
          <cell r="F111">
            <v>41446</v>
          </cell>
          <cell r="G111">
            <v>13.261762999999998</v>
          </cell>
          <cell r="H111">
            <v>549647.02929799992</v>
          </cell>
          <cell r="I111">
            <v>35.065753424657537</v>
          </cell>
          <cell r="J111" t="str">
            <v>Гравий</v>
          </cell>
          <cell r="K111">
            <v>0</v>
          </cell>
          <cell r="L111">
            <v>10</v>
          </cell>
          <cell r="M111">
            <v>0.8</v>
          </cell>
          <cell r="N111">
            <v>0</v>
          </cell>
          <cell r="O111">
            <v>0</v>
          </cell>
          <cell r="P111">
            <v>0.8</v>
          </cell>
          <cell r="Q111">
            <v>0</v>
          </cell>
          <cell r="R111" t="e">
            <v>#DIV/0!</v>
          </cell>
          <cell r="S111">
            <v>0</v>
          </cell>
          <cell r="T111">
            <v>109929</v>
          </cell>
          <cell r="U111" t="e">
            <v>#DIV/0!</v>
          </cell>
          <cell r="V111" t="e">
            <v>#DIV/0!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 t="str">
            <v/>
          </cell>
          <cell r="AB111" t="e">
            <v>#VALUE!</v>
          </cell>
          <cell r="AC111">
            <v>0</v>
          </cell>
          <cell r="AD111" t="str">
            <v>Не рассчитывалась</v>
          </cell>
          <cell r="AE111" t="str">
            <v>Не рассчитывалась</v>
          </cell>
          <cell r="AF111" t="e">
            <v>#VALUE!</v>
          </cell>
          <cell r="AG111">
            <v>0</v>
          </cell>
          <cell r="AH111" t="str">
            <v>не будет использоваться</v>
          </cell>
          <cell r="AI111" t="str">
            <v>Уточнить состояние по фото</v>
          </cell>
          <cell r="AL111">
            <v>0</v>
          </cell>
          <cell r="AM111" t="str">
            <v>Не рассчитывалась</v>
          </cell>
        </row>
        <row r="112">
          <cell r="A112">
            <v>163</v>
          </cell>
          <cell r="B112">
            <v>576</v>
          </cell>
          <cell r="C112" t="str">
            <v>Авто-дорога с гравийным покрытием к АХК</v>
          </cell>
          <cell r="D112">
            <v>28109</v>
          </cell>
          <cell r="E112">
            <v>28109</v>
          </cell>
          <cell r="F112">
            <v>165787</v>
          </cell>
          <cell r="G112">
            <v>13.261762999999998</v>
          </cell>
          <cell r="H112">
            <v>2198627.9024809999</v>
          </cell>
          <cell r="I112">
            <v>39.06849315068493</v>
          </cell>
          <cell r="J112" t="str">
            <v>Гравий</v>
          </cell>
          <cell r="K112">
            <v>0</v>
          </cell>
          <cell r="L112">
            <v>10</v>
          </cell>
          <cell r="M112">
            <v>0.8</v>
          </cell>
          <cell r="N112">
            <v>0</v>
          </cell>
          <cell r="O112">
            <v>0</v>
          </cell>
          <cell r="P112">
            <v>0.8</v>
          </cell>
          <cell r="Q112">
            <v>0</v>
          </cell>
          <cell r="R112" t="e">
            <v>#DIV/0!</v>
          </cell>
          <cell r="S112">
            <v>0</v>
          </cell>
          <cell r="T112">
            <v>439726</v>
          </cell>
          <cell r="U112" t="e">
            <v>#DIV/0!</v>
          </cell>
          <cell r="V112" t="e">
            <v>#DIV/0!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 t="str">
            <v/>
          </cell>
          <cell r="AB112" t="e">
            <v>#VALUE!</v>
          </cell>
          <cell r="AC112">
            <v>0</v>
          </cell>
          <cell r="AD112" t="str">
            <v>Не рассчитывалась</v>
          </cell>
          <cell r="AE112" t="str">
            <v>Не рассчитывалась</v>
          </cell>
          <cell r="AF112" t="e">
            <v>#VALUE!</v>
          </cell>
          <cell r="AG112">
            <v>0</v>
          </cell>
          <cell r="AH112" t="str">
            <v>не будет использоваться</v>
          </cell>
          <cell r="AI112" t="str">
            <v>Уточнить состояние по фото</v>
          </cell>
          <cell r="AL112">
            <v>0</v>
          </cell>
          <cell r="AM112" t="str">
            <v>Не рассчитывалась</v>
          </cell>
        </row>
        <row r="113">
          <cell r="A113">
            <v>164</v>
          </cell>
          <cell r="B113">
            <v>574</v>
          </cell>
          <cell r="C113" t="str">
            <v>Авто-дорога с гравийным покрытием к бр 2</v>
          </cell>
          <cell r="D113">
            <v>33953</v>
          </cell>
          <cell r="E113">
            <v>33953</v>
          </cell>
          <cell r="F113">
            <v>51443</v>
          </cell>
          <cell r="G113">
            <v>13.261762999999998</v>
          </cell>
          <cell r="H113">
            <v>682224.8740089999</v>
          </cell>
          <cell r="I113">
            <v>23.057534246575344</v>
          </cell>
          <cell r="J113" t="str">
            <v>Гравий</v>
          </cell>
          <cell r="K113">
            <v>0</v>
          </cell>
          <cell r="L113">
            <v>10</v>
          </cell>
          <cell r="M113">
            <v>0.8</v>
          </cell>
          <cell r="N113">
            <v>0</v>
          </cell>
          <cell r="O113">
            <v>0</v>
          </cell>
          <cell r="P113">
            <v>0.8</v>
          </cell>
          <cell r="Q113">
            <v>0</v>
          </cell>
          <cell r="R113" t="e">
            <v>#DIV/0!</v>
          </cell>
          <cell r="S113">
            <v>0</v>
          </cell>
          <cell r="T113">
            <v>136445</v>
          </cell>
          <cell r="U113" t="e">
            <v>#DIV/0!</v>
          </cell>
          <cell r="V113" t="e">
            <v>#DIV/0!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 t="str">
            <v/>
          </cell>
          <cell r="AB113" t="e">
            <v>#VALUE!</v>
          </cell>
          <cell r="AC113">
            <v>0</v>
          </cell>
          <cell r="AD113" t="str">
            <v>Не рассчитывалась</v>
          </cell>
          <cell r="AE113" t="str">
            <v>Не рассчитывалась</v>
          </cell>
          <cell r="AF113" t="e">
            <v>#VALUE!</v>
          </cell>
          <cell r="AG113">
            <v>0</v>
          </cell>
          <cell r="AH113" t="str">
            <v>не будет использоваться</v>
          </cell>
          <cell r="AI113" t="str">
            <v>Уточнить состояние по фото</v>
          </cell>
          <cell r="AL113">
            <v>0</v>
          </cell>
          <cell r="AM113" t="str">
            <v>Не рассчитывалась</v>
          </cell>
        </row>
        <row r="114">
          <cell r="A114">
            <v>165</v>
          </cell>
          <cell r="B114">
            <v>573</v>
          </cell>
          <cell r="C114" t="str">
            <v>Авто-дорога с гравийным покрытием к МТФ-2(роща)</v>
          </cell>
          <cell r="D114">
            <v>30665</v>
          </cell>
          <cell r="E114">
            <v>30665</v>
          </cell>
          <cell r="F114">
            <v>279761</v>
          </cell>
          <cell r="G114">
            <v>13.261762999999998</v>
          </cell>
          <cell r="H114">
            <v>3710124.0786429998</v>
          </cell>
          <cell r="I114">
            <v>32.065753424657537</v>
          </cell>
          <cell r="J114" t="str">
            <v>Гравий</v>
          </cell>
          <cell r="K114">
            <v>0</v>
          </cell>
          <cell r="L114">
            <v>10</v>
          </cell>
          <cell r="M114">
            <v>0.8</v>
          </cell>
          <cell r="N114">
            <v>0</v>
          </cell>
          <cell r="O114">
            <v>0</v>
          </cell>
          <cell r="P114">
            <v>0.8</v>
          </cell>
          <cell r="Q114">
            <v>0</v>
          </cell>
          <cell r="R114" t="e">
            <v>#DIV/0!</v>
          </cell>
          <cell r="S114">
            <v>0</v>
          </cell>
          <cell r="T114">
            <v>742025</v>
          </cell>
          <cell r="U114" t="e">
            <v>#DIV/0!</v>
          </cell>
          <cell r="V114" t="e">
            <v>#DIV/0!</v>
          </cell>
          <cell r="W114">
            <v>0</v>
          </cell>
          <cell r="X114">
            <v>0</v>
          </cell>
          <cell r="Y114">
            <v>0</v>
          </cell>
          <cell r="Z114" t="str">
            <v/>
          </cell>
          <cell r="AA114" t="str">
            <v/>
          </cell>
          <cell r="AB114" t="e">
            <v>#VALUE!</v>
          </cell>
          <cell r="AC114">
            <v>0</v>
          </cell>
          <cell r="AD114" t="str">
            <v>Не рассчитывалась</v>
          </cell>
          <cell r="AE114" t="str">
            <v>Не рассчитывалась</v>
          </cell>
          <cell r="AF114" t="e">
            <v>#VALUE!</v>
          </cell>
          <cell r="AG114">
            <v>0</v>
          </cell>
          <cell r="AH114" t="str">
            <v>не будет использоваться</v>
          </cell>
          <cell r="AI114" t="str">
            <v>Уточнить состояние по фото</v>
          </cell>
          <cell r="AL114">
            <v>0</v>
          </cell>
          <cell r="AM114" t="str">
            <v>Не рассчитывалась</v>
          </cell>
        </row>
        <row r="115">
          <cell r="A115">
            <v>166</v>
          </cell>
          <cell r="B115">
            <v>583</v>
          </cell>
          <cell r="C115" t="str">
            <v>Авто-дорога с гравийным покрытием ул.40 лет Октября</v>
          </cell>
          <cell r="D115">
            <v>33953</v>
          </cell>
          <cell r="E115">
            <v>33953</v>
          </cell>
          <cell r="F115">
            <v>114200</v>
          </cell>
          <cell r="G115">
            <v>13.261762999999998</v>
          </cell>
          <cell r="H115">
            <v>1514493.3345999997</v>
          </cell>
          <cell r="I115">
            <v>23.057534246575344</v>
          </cell>
          <cell r="J115" t="str">
            <v>Гравий</v>
          </cell>
          <cell r="K115">
            <v>0</v>
          </cell>
          <cell r="L115">
            <v>10</v>
          </cell>
          <cell r="M115">
            <v>0.8</v>
          </cell>
          <cell r="N115">
            <v>0</v>
          </cell>
          <cell r="O115">
            <v>0</v>
          </cell>
          <cell r="P115">
            <v>0.8</v>
          </cell>
          <cell r="Q115">
            <v>0</v>
          </cell>
          <cell r="R115" t="e">
            <v>#DIV/0!</v>
          </cell>
          <cell r="S115">
            <v>0</v>
          </cell>
          <cell r="T115">
            <v>302899</v>
          </cell>
          <cell r="U115" t="e">
            <v>#DIV/0!</v>
          </cell>
          <cell r="V115" t="e">
            <v>#DIV/0!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 t="str">
            <v/>
          </cell>
          <cell r="AB115" t="e">
            <v>#VALUE!</v>
          </cell>
          <cell r="AC115">
            <v>0</v>
          </cell>
          <cell r="AD115" t="str">
            <v>Не рассчитывалась</v>
          </cell>
          <cell r="AE115" t="str">
            <v>Не рассчитывалась</v>
          </cell>
          <cell r="AF115" t="e">
            <v>#VALUE!</v>
          </cell>
          <cell r="AG115">
            <v>0</v>
          </cell>
          <cell r="AH115" t="str">
            <v>не будет использоваться</v>
          </cell>
          <cell r="AI115" t="str">
            <v>Уточнить состояние по фото</v>
          </cell>
          <cell r="AL115">
            <v>0</v>
          </cell>
          <cell r="AM115" t="str">
            <v>Не рассчитывалась</v>
          </cell>
        </row>
        <row r="116">
          <cell r="A116">
            <v>167</v>
          </cell>
          <cell r="B116">
            <v>582</v>
          </cell>
          <cell r="C116" t="str">
            <v>Авто-дорога с гравийным покрытием ул.Гагарина</v>
          </cell>
          <cell r="D116">
            <v>33953</v>
          </cell>
          <cell r="E116">
            <v>33953</v>
          </cell>
          <cell r="F116">
            <v>600100</v>
          </cell>
          <cell r="G116">
            <v>13.261762999999998</v>
          </cell>
          <cell r="H116">
            <v>7958383.9762999993</v>
          </cell>
          <cell r="I116">
            <v>23.057534246575344</v>
          </cell>
          <cell r="J116" t="str">
            <v>Гравий</v>
          </cell>
          <cell r="K116">
            <v>0</v>
          </cell>
          <cell r="L116">
            <v>10</v>
          </cell>
          <cell r="M116">
            <v>0.8</v>
          </cell>
          <cell r="N116">
            <v>0</v>
          </cell>
          <cell r="O116">
            <v>0</v>
          </cell>
          <cell r="P116">
            <v>0.8</v>
          </cell>
          <cell r="Q116">
            <v>0</v>
          </cell>
          <cell r="R116" t="e">
            <v>#DIV/0!</v>
          </cell>
          <cell r="S116" t="str">
            <v>Не соответствует</v>
          </cell>
          <cell r="T116">
            <v>1591677</v>
          </cell>
          <cell r="U116" t="e">
            <v>#DIV/0!</v>
          </cell>
          <cell r="V116" t="e">
            <v>#DIV/0!</v>
          </cell>
          <cell r="W116" t="str">
            <v>Соответствует</v>
          </cell>
          <cell r="X116">
            <v>0</v>
          </cell>
          <cell r="Y116">
            <v>0</v>
          </cell>
          <cell r="Z116" t="str">
            <v/>
          </cell>
          <cell r="AA116" t="str">
            <v/>
          </cell>
          <cell r="AB116" t="e">
            <v>#VALUE!</v>
          </cell>
          <cell r="AC116" t="str">
            <v>Не рассчитывалась</v>
          </cell>
          <cell r="AD116" t="str">
            <v>Не рассчитывалась</v>
          </cell>
          <cell r="AE116" t="str">
            <v>Не рассчитывалась</v>
          </cell>
          <cell r="AF116" t="e">
            <v>#VALUE!</v>
          </cell>
          <cell r="AG116">
            <v>0</v>
          </cell>
          <cell r="AH116" t="str">
            <v>будет использоваться</v>
          </cell>
          <cell r="AI116" t="str">
            <v>Уточнить состояние по фото</v>
          </cell>
          <cell r="AJ11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6">
            <v>1591677</v>
          </cell>
          <cell r="AM116" t="str">
            <v>По сроку службы</v>
          </cell>
        </row>
        <row r="117">
          <cell r="A117">
            <v>168</v>
          </cell>
          <cell r="B117">
            <v>579</v>
          </cell>
          <cell r="C117" t="str">
            <v>Авто-дорога с гравийным покрытием ул.Лесная</v>
          </cell>
          <cell r="D117">
            <v>33587</v>
          </cell>
          <cell r="E117">
            <v>33587</v>
          </cell>
          <cell r="F117">
            <v>1347600</v>
          </cell>
          <cell r="G117">
            <v>13.261762999999998</v>
          </cell>
          <cell r="H117">
            <v>17871551.818799999</v>
          </cell>
          <cell r="I117">
            <v>24.06027397260274</v>
          </cell>
          <cell r="J117" t="str">
            <v>Гравий</v>
          </cell>
          <cell r="K117">
            <v>0</v>
          </cell>
          <cell r="L117">
            <v>10</v>
          </cell>
          <cell r="M117">
            <v>0.8</v>
          </cell>
          <cell r="N117">
            <v>0</v>
          </cell>
          <cell r="O117">
            <v>0</v>
          </cell>
          <cell r="P117">
            <v>0.8</v>
          </cell>
          <cell r="Q117">
            <v>0</v>
          </cell>
          <cell r="R117" t="e">
            <v>#DIV/0!</v>
          </cell>
          <cell r="S117" t="str">
            <v>Не соответствует</v>
          </cell>
          <cell r="T117">
            <v>3574310</v>
          </cell>
          <cell r="U117" t="e">
            <v>#DIV/0!</v>
          </cell>
          <cell r="V117" t="e">
            <v>#DIV/0!</v>
          </cell>
          <cell r="W117" t="str">
            <v>Соответствует</v>
          </cell>
          <cell r="X117">
            <v>0</v>
          </cell>
          <cell r="Y117">
            <v>0</v>
          </cell>
          <cell r="Z117" t="str">
            <v/>
          </cell>
          <cell r="AA117" t="str">
            <v/>
          </cell>
          <cell r="AB117" t="e">
            <v>#VALUE!</v>
          </cell>
          <cell r="AC117" t="str">
            <v>Не рассчитывалась</v>
          </cell>
          <cell r="AD117" t="str">
            <v>Не рассчитывалась</v>
          </cell>
          <cell r="AE117" t="str">
            <v>Не рассчитывалась</v>
          </cell>
          <cell r="AF117" t="e">
            <v>#VALUE!</v>
          </cell>
          <cell r="AG117">
            <v>0</v>
          </cell>
          <cell r="AH117" t="str">
            <v>будет использоваться</v>
          </cell>
          <cell r="AI117" t="str">
            <v>Уточнить состояние по фото</v>
          </cell>
          <cell r="AJ11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7">
            <v>3574310</v>
          </cell>
          <cell r="AM117" t="str">
            <v>По сроку службы</v>
          </cell>
        </row>
        <row r="118">
          <cell r="A118">
            <v>169</v>
          </cell>
          <cell r="B118">
            <v>578</v>
          </cell>
          <cell r="C118" t="str">
            <v>Авто-дорога с гравийным покрытием ул.Партизанская</v>
          </cell>
          <cell r="D118">
            <v>33587</v>
          </cell>
          <cell r="E118">
            <v>33587</v>
          </cell>
          <cell r="F118">
            <v>844000</v>
          </cell>
          <cell r="G118">
            <v>13.261762999999998</v>
          </cell>
          <cell r="H118">
            <v>11192927.971999999</v>
          </cell>
          <cell r="I118">
            <v>24.06027397260274</v>
          </cell>
          <cell r="J118" t="str">
            <v>Гравий</v>
          </cell>
          <cell r="K118">
            <v>0</v>
          </cell>
          <cell r="L118">
            <v>10</v>
          </cell>
          <cell r="M118">
            <v>0.8</v>
          </cell>
          <cell r="N118">
            <v>0</v>
          </cell>
          <cell r="O118">
            <v>0</v>
          </cell>
          <cell r="P118">
            <v>0.8</v>
          </cell>
          <cell r="Q118">
            <v>0</v>
          </cell>
          <cell r="R118" t="e">
            <v>#DIV/0!</v>
          </cell>
          <cell r="S118" t="str">
            <v>Не соответствует</v>
          </cell>
          <cell r="T118">
            <v>2238586</v>
          </cell>
          <cell r="U118" t="e">
            <v>#DIV/0!</v>
          </cell>
          <cell r="V118" t="e">
            <v>#DIV/0!</v>
          </cell>
          <cell r="W118" t="str">
            <v>Соответствует</v>
          </cell>
          <cell r="X118">
            <v>0</v>
          </cell>
          <cell r="Y118">
            <v>0</v>
          </cell>
          <cell r="Z118" t="str">
            <v/>
          </cell>
          <cell r="AA118" t="str">
            <v/>
          </cell>
          <cell r="AB118" t="e">
            <v>#VALUE!</v>
          </cell>
          <cell r="AC118" t="str">
            <v>Не рассчитывалась</v>
          </cell>
          <cell r="AD118" t="str">
            <v>Не рассчитывалась</v>
          </cell>
          <cell r="AE118" t="str">
            <v>Не рассчитывалась</v>
          </cell>
          <cell r="AF118" t="e">
            <v>#VALUE!</v>
          </cell>
          <cell r="AG118">
            <v>0</v>
          </cell>
          <cell r="AH118" t="str">
            <v>будет использоваться</v>
          </cell>
          <cell r="AI118" t="str">
            <v>Уточнить состояние по фото</v>
          </cell>
          <cell r="AJ11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8">
            <v>2238586</v>
          </cell>
          <cell r="AM118" t="str">
            <v>По сроку службы</v>
          </cell>
        </row>
        <row r="119">
          <cell r="A119">
            <v>170</v>
          </cell>
          <cell r="B119">
            <v>577</v>
          </cell>
          <cell r="C119" t="str">
            <v>Авто-дорога с гравийным покрытием ул.Театральная</v>
          </cell>
          <cell r="D119">
            <v>33587</v>
          </cell>
          <cell r="E119">
            <v>33587</v>
          </cell>
          <cell r="F119">
            <v>198944</v>
          </cell>
          <cell r="G119">
            <v>13.261762999999998</v>
          </cell>
          <cell r="H119">
            <v>2638348.1782719996</v>
          </cell>
          <cell r="I119">
            <v>24.06027397260274</v>
          </cell>
          <cell r="J119" t="str">
            <v>Гравий</v>
          </cell>
          <cell r="K119">
            <v>0</v>
          </cell>
          <cell r="L119">
            <v>10</v>
          </cell>
          <cell r="M119">
            <v>0.8</v>
          </cell>
          <cell r="N119">
            <v>0</v>
          </cell>
          <cell r="O119">
            <v>0</v>
          </cell>
          <cell r="P119">
            <v>0.8</v>
          </cell>
          <cell r="Q119">
            <v>0</v>
          </cell>
          <cell r="R119" t="e">
            <v>#DIV/0!</v>
          </cell>
          <cell r="S119">
            <v>0</v>
          </cell>
          <cell r="T119">
            <v>527670</v>
          </cell>
          <cell r="U119" t="e">
            <v>#DIV/0!</v>
          </cell>
          <cell r="V119" t="e">
            <v>#DIV/0!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 t="str">
            <v/>
          </cell>
          <cell r="AB119" t="e">
            <v>#VALUE!</v>
          </cell>
          <cell r="AC119">
            <v>0</v>
          </cell>
          <cell r="AD119" t="str">
            <v>Не рассчитывалась</v>
          </cell>
          <cell r="AE119" t="str">
            <v>Не рассчитывалась</v>
          </cell>
          <cell r="AF119" t="e">
            <v>#VALUE!</v>
          </cell>
          <cell r="AG119">
            <v>0</v>
          </cell>
          <cell r="AH119" t="str">
            <v>не будет использоваться</v>
          </cell>
          <cell r="AI119" t="str">
            <v>Уточнить состояние по фото</v>
          </cell>
          <cell r="AL119">
            <v>0</v>
          </cell>
          <cell r="AM119" t="str">
            <v>Не рассчитывалась</v>
          </cell>
        </row>
        <row r="120">
          <cell r="A120">
            <v>171</v>
          </cell>
          <cell r="B120">
            <v>581</v>
          </cell>
          <cell r="C120" t="str">
            <v>Авто-дорога с гравийным покрытием ул.Толстого</v>
          </cell>
          <cell r="D120">
            <v>33953</v>
          </cell>
          <cell r="E120">
            <v>33953</v>
          </cell>
          <cell r="F120">
            <v>654500</v>
          </cell>
          <cell r="G120">
            <v>13.261762999999998</v>
          </cell>
          <cell r="H120">
            <v>8679823.8834999986</v>
          </cell>
          <cell r="I120">
            <v>23.057534246575344</v>
          </cell>
          <cell r="J120" t="str">
            <v>Гравий</v>
          </cell>
          <cell r="K120">
            <v>0</v>
          </cell>
          <cell r="L120">
            <v>10</v>
          </cell>
          <cell r="M120">
            <v>0.8</v>
          </cell>
          <cell r="N120">
            <v>0</v>
          </cell>
          <cell r="O120">
            <v>0</v>
          </cell>
          <cell r="P120">
            <v>0.8</v>
          </cell>
          <cell r="Q120">
            <v>0</v>
          </cell>
          <cell r="R120" t="e">
            <v>#DIV/0!</v>
          </cell>
          <cell r="S120" t="str">
            <v>Не соответствует</v>
          </cell>
          <cell r="T120">
            <v>1735965</v>
          </cell>
          <cell r="U120" t="e">
            <v>#DIV/0!</v>
          </cell>
          <cell r="V120" t="e">
            <v>#DIV/0!</v>
          </cell>
          <cell r="W120" t="str">
            <v>Соответствует</v>
          </cell>
          <cell r="X120">
            <v>0</v>
          </cell>
          <cell r="Y120">
            <v>0</v>
          </cell>
          <cell r="Z120" t="str">
            <v/>
          </cell>
          <cell r="AA120" t="str">
            <v/>
          </cell>
          <cell r="AB120" t="e">
            <v>#VALUE!</v>
          </cell>
          <cell r="AC120" t="str">
            <v>Не рассчитывалась</v>
          </cell>
          <cell r="AD120" t="str">
            <v>Не рассчитывалась</v>
          </cell>
          <cell r="AE120" t="str">
            <v>Не рассчитывалась</v>
          </cell>
          <cell r="AF120" t="e">
            <v>#VALUE!</v>
          </cell>
          <cell r="AG120">
            <v>0</v>
          </cell>
          <cell r="AH120" t="str">
            <v>будет использоваться</v>
          </cell>
          <cell r="AI120" t="str">
            <v>Уточнить состояние по фото</v>
          </cell>
          <cell r="AJ12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0">
            <v>1735965</v>
          </cell>
          <cell r="AM120" t="str">
            <v>По сроку службы</v>
          </cell>
        </row>
        <row r="121">
          <cell r="A121">
            <v>172</v>
          </cell>
          <cell r="B121">
            <v>560</v>
          </cell>
          <cell r="C121" t="str">
            <v>Авто-дорога с тверд, покрытием ул.Базарная</v>
          </cell>
          <cell r="D121">
            <v>33953</v>
          </cell>
          <cell r="E121">
            <v>33953</v>
          </cell>
          <cell r="F121">
            <v>150161</v>
          </cell>
          <cell r="G121">
            <v>13.261762999999998</v>
          </cell>
          <cell r="H121">
            <v>1991399.5938429998</v>
          </cell>
          <cell r="I121">
            <v>23.057534246575344</v>
          </cell>
          <cell r="J121" t="str">
            <v>Асфальт</v>
          </cell>
          <cell r="K121">
            <v>0</v>
          </cell>
          <cell r="L121">
            <v>17</v>
          </cell>
          <cell r="M121">
            <v>0.8</v>
          </cell>
          <cell r="N121">
            <v>0</v>
          </cell>
          <cell r="O121">
            <v>0</v>
          </cell>
          <cell r="P121">
            <v>0.8</v>
          </cell>
          <cell r="Q121">
            <v>0</v>
          </cell>
          <cell r="R121" t="e">
            <v>#DIV/0!</v>
          </cell>
          <cell r="S121">
            <v>0</v>
          </cell>
          <cell r="T121">
            <v>398280</v>
          </cell>
          <cell r="U121" t="e">
            <v>#DIV/0!</v>
          </cell>
          <cell r="V121" t="e">
            <v>#DIV/0!</v>
          </cell>
          <cell r="W121">
            <v>0</v>
          </cell>
          <cell r="X121">
            <v>0</v>
          </cell>
          <cell r="Y121">
            <v>0</v>
          </cell>
          <cell r="Z121" t="str">
            <v/>
          </cell>
          <cell r="AA121" t="str">
            <v/>
          </cell>
          <cell r="AB121" t="e">
            <v>#VALUE!</v>
          </cell>
          <cell r="AC121">
            <v>0</v>
          </cell>
          <cell r="AD121" t="str">
            <v>Не рассчитывалась</v>
          </cell>
          <cell r="AE121" t="str">
            <v>Не рассчитывалась</v>
          </cell>
          <cell r="AF121" t="e">
            <v>#VALUE!</v>
          </cell>
          <cell r="AG121">
            <v>0</v>
          </cell>
          <cell r="AH121" t="str">
            <v>не будет использоваться</v>
          </cell>
          <cell r="AI121" t="str">
            <v>Уточнить состояние по фото</v>
          </cell>
          <cell r="AL121">
            <v>0</v>
          </cell>
          <cell r="AM121" t="str">
            <v>Не рассчитывалась</v>
          </cell>
        </row>
        <row r="122">
          <cell r="A122">
            <v>173</v>
          </cell>
          <cell r="B122">
            <v>545</v>
          </cell>
          <cell r="C122" t="str">
            <v>Авто-дорога с тверд, покрытием ул.Комсомольская</v>
          </cell>
          <cell r="D122">
            <v>33587</v>
          </cell>
          <cell r="E122">
            <v>33587</v>
          </cell>
          <cell r="F122">
            <v>113620</v>
          </cell>
          <cell r="G122">
            <v>13.261762999999998</v>
          </cell>
          <cell r="H122">
            <v>1506801.5120599999</v>
          </cell>
          <cell r="I122">
            <v>24.06027397260274</v>
          </cell>
          <cell r="J122" t="str">
            <v>Асфальт</v>
          </cell>
          <cell r="K122">
            <v>0</v>
          </cell>
          <cell r="L122">
            <v>17</v>
          </cell>
          <cell r="M122">
            <v>0.8</v>
          </cell>
          <cell r="N122">
            <v>0</v>
          </cell>
          <cell r="O122">
            <v>0</v>
          </cell>
          <cell r="P122">
            <v>0.8</v>
          </cell>
          <cell r="Q122">
            <v>0</v>
          </cell>
          <cell r="R122" t="e">
            <v>#DIV/0!</v>
          </cell>
          <cell r="S122">
            <v>0</v>
          </cell>
          <cell r="T122">
            <v>301360</v>
          </cell>
          <cell r="U122" t="e">
            <v>#DIV/0!</v>
          </cell>
          <cell r="V122" t="e">
            <v>#DIV/0!</v>
          </cell>
          <cell r="W122">
            <v>0</v>
          </cell>
          <cell r="X122">
            <v>0</v>
          </cell>
          <cell r="Y122">
            <v>0</v>
          </cell>
          <cell r="Z122" t="str">
            <v/>
          </cell>
          <cell r="AA122" t="str">
            <v/>
          </cell>
          <cell r="AB122" t="e">
            <v>#VALUE!</v>
          </cell>
          <cell r="AC122">
            <v>0</v>
          </cell>
          <cell r="AD122" t="str">
            <v>Не рассчитывалась</v>
          </cell>
          <cell r="AE122" t="str">
            <v>Не рассчитывалась</v>
          </cell>
          <cell r="AF122" t="e">
            <v>#VALUE!</v>
          </cell>
          <cell r="AG122">
            <v>0</v>
          </cell>
          <cell r="AH122" t="str">
            <v>не будет использоваться</v>
          </cell>
          <cell r="AI122" t="str">
            <v>Уточнить состояние по фото</v>
          </cell>
          <cell r="AL122">
            <v>0</v>
          </cell>
          <cell r="AM122" t="str">
            <v>Не рассчитывалась</v>
          </cell>
        </row>
        <row r="123">
          <cell r="A123">
            <v>174</v>
          </cell>
          <cell r="B123">
            <v>561</v>
          </cell>
          <cell r="C123" t="str">
            <v>Авто-дорога с тверд, покрытием ул.Рыбинская</v>
          </cell>
          <cell r="D123">
            <v>32857</v>
          </cell>
          <cell r="E123">
            <v>32857</v>
          </cell>
          <cell r="F123">
            <v>150080</v>
          </cell>
          <cell r="G123">
            <v>13.261762999999998</v>
          </cell>
          <cell r="H123">
            <v>1990325.3910399997</v>
          </cell>
          <cell r="I123">
            <v>26.06027397260274</v>
          </cell>
          <cell r="J123" t="str">
            <v>Асфальт</v>
          </cell>
          <cell r="K123">
            <v>0</v>
          </cell>
          <cell r="L123">
            <v>17</v>
          </cell>
          <cell r="M123">
            <v>0.8</v>
          </cell>
          <cell r="N123">
            <v>0</v>
          </cell>
          <cell r="O123">
            <v>0</v>
          </cell>
          <cell r="P123">
            <v>0.8</v>
          </cell>
          <cell r="Q123">
            <v>0</v>
          </cell>
          <cell r="R123" t="e">
            <v>#DIV/0!</v>
          </cell>
          <cell r="S123">
            <v>0</v>
          </cell>
          <cell r="T123">
            <v>398065</v>
          </cell>
          <cell r="U123" t="e">
            <v>#DIV/0!</v>
          </cell>
          <cell r="V123" t="e">
            <v>#DIV/0!</v>
          </cell>
          <cell r="W123">
            <v>0</v>
          </cell>
          <cell r="X123">
            <v>0</v>
          </cell>
          <cell r="Y123">
            <v>0</v>
          </cell>
          <cell r="Z123" t="str">
            <v/>
          </cell>
          <cell r="AA123" t="str">
            <v/>
          </cell>
          <cell r="AB123" t="e">
            <v>#VALUE!</v>
          </cell>
          <cell r="AC123">
            <v>0</v>
          </cell>
          <cell r="AD123" t="str">
            <v>Не рассчитывалась</v>
          </cell>
          <cell r="AE123" t="str">
            <v>Не рассчитывалась</v>
          </cell>
          <cell r="AF123" t="e">
            <v>#VALUE!</v>
          </cell>
          <cell r="AG123">
            <v>0</v>
          </cell>
          <cell r="AH123" t="str">
            <v>не будет использоваться</v>
          </cell>
          <cell r="AI123" t="str">
            <v>Уточнить состояние по фото</v>
          </cell>
          <cell r="AL123">
            <v>0</v>
          </cell>
          <cell r="AM123" t="str">
            <v>Не рассчитывалась</v>
          </cell>
        </row>
        <row r="124">
          <cell r="A124">
            <v>175</v>
          </cell>
          <cell r="B124">
            <v>558</v>
          </cell>
          <cell r="C124" t="str">
            <v>Авто-дорога с тверд, покрытием ул.Черноморская</v>
          </cell>
          <cell r="D124">
            <v>33587</v>
          </cell>
          <cell r="E124">
            <v>33587</v>
          </cell>
          <cell r="F124">
            <v>73203</v>
          </cell>
          <cell r="G124">
            <v>13.261762999999998</v>
          </cell>
          <cell r="H124">
            <v>970800.83688899991</v>
          </cell>
          <cell r="I124">
            <v>24.06027397260274</v>
          </cell>
          <cell r="J124" t="str">
            <v>Асфальт</v>
          </cell>
          <cell r="K124">
            <v>0</v>
          </cell>
          <cell r="L124">
            <v>17</v>
          </cell>
          <cell r="M124">
            <v>0.8</v>
          </cell>
          <cell r="N124">
            <v>0</v>
          </cell>
          <cell r="O124">
            <v>0</v>
          </cell>
          <cell r="P124">
            <v>0.8</v>
          </cell>
          <cell r="Q124">
            <v>0</v>
          </cell>
          <cell r="R124" t="e">
            <v>#DIV/0!</v>
          </cell>
          <cell r="S124">
            <v>0</v>
          </cell>
          <cell r="T124">
            <v>194160</v>
          </cell>
          <cell r="U124" t="e">
            <v>#DIV/0!</v>
          </cell>
          <cell r="V124" t="e">
            <v>#DIV/0!</v>
          </cell>
          <cell r="W124">
            <v>0</v>
          </cell>
          <cell r="X124">
            <v>0</v>
          </cell>
          <cell r="Y124">
            <v>0</v>
          </cell>
          <cell r="Z124" t="str">
            <v/>
          </cell>
          <cell r="AA124" t="str">
            <v/>
          </cell>
          <cell r="AB124" t="e">
            <v>#VALUE!</v>
          </cell>
          <cell r="AC124">
            <v>0</v>
          </cell>
          <cell r="AD124" t="str">
            <v>Не рассчитывалась</v>
          </cell>
          <cell r="AE124" t="str">
            <v>Не рассчитывалась</v>
          </cell>
          <cell r="AF124" t="e">
            <v>#VALUE!</v>
          </cell>
          <cell r="AG124">
            <v>0</v>
          </cell>
          <cell r="AH124" t="str">
            <v>не будет использоваться</v>
          </cell>
          <cell r="AI124" t="str">
            <v>Уточнить состояние по фото</v>
          </cell>
          <cell r="AL124">
            <v>0</v>
          </cell>
          <cell r="AM124" t="str">
            <v>Не рассчитывалась</v>
          </cell>
        </row>
        <row r="125">
          <cell r="A125">
            <v>176</v>
          </cell>
          <cell r="B125">
            <v>559</v>
          </cell>
          <cell r="C125" t="str">
            <v>Авто-дорога с тверд, покрытием ул.Шевченко</v>
          </cell>
          <cell r="D125">
            <v>33587</v>
          </cell>
          <cell r="E125">
            <v>33587</v>
          </cell>
          <cell r="F125">
            <v>86342</v>
          </cell>
          <cell r="G125">
            <v>13.261762999999998</v>
          </cell>
          <cell r="H125">
            <v>1145047.1409459999</v>
          </cell>
          <cell r="I125">
            <v>24.06027397260274</v>
          </cell>
          <cell r="J125" t="str">
            <v>Асфальт</v>
          </cell>
          <cell r="K125">
            <v>0</v>
          </cell>
          <cell r="L125">
            <v>17</v>
          </cell>
          <cell r="M125">
            <v>0.8</v>
          </cell>
          <cell r="N125">
            <v>0</v>
          </cell>
          <cell r="O125">
            <v>0</v>
          </cell>
          <cell r="P125">
            <v>0.8</v>
          </cell>
          <cell r="Q125">
            <v>0</v>
          </cell>
          <cell r="R125" t="e">
            <v>#DIV/0!</v>
          </cell>
          <cell r="S125">
            <v>0</v>
          </cell>
          <cell r="T125">
            <v>229009</v>
          </cell>
          <cell r="U125" t="e">
            <v>#DIV/0!</v>
          </cell>
          <cell r="V125" t="e">
            <v>#DIV/0!</v>
          </cell>
          <cell r="W125">
            <v>0</v>
          </cell>
          <cell r="X125">
            <v>0</v>
          </cell>
          <cell r="Y125">
            <v>0</v>
          </cell>
          <cell r="Z125" t="str">
            <v/>
          </cell>
          <cell r="AA125" t="str">
            <v/>
          </cell>
          <cell r="AB125" t="e">
            <v>#VALUE!</v>
          </cell>
          <cell r="AC125">
            <v>0</v>
          </cell>
          <cell r="AD125" t="str">
            <v>Не рассчитывалась</v>
          </cell>
          <cell r="AE125" t="str">
            <v>Не рассчитывалась</v>
          </cell>
          <cell r="AF125" t="e">
            <v>#VALUE!</v>
          </cell>
          <cell r="AG125">
            <v>0</v>
          </cell>
          <cell r="AH125" t="str">
            <v>не будет использоваться</v>
          </cell>
          <cell r="AI125" t="str">
            <v>Уточнить состояние по фото</v>
          </cell>
          <cell r="AL125">
            <v>0</v>
          </cell>
          <cell r="AM125" t="str">
            <v>Не рассчитывалась</v>
          </cell>
        </row>
        <row r="126">
          <cell r="A126">
            <v>177</v>
          </cell>
          <cell r="B126">
            <v>568</v>
          </cell>
          <cell r="C126" t="str">
            <v>Авто-дорога с твердым покрытием</v>
          </cell>
          <cell r="D126">
            <v>32126</v>
          </cell>
          <cell r="E126">
            <v>32126</v>
          </cell>
          <cell r="F126">
            <v>46334</v>
          </cell>
          <cell r="G126">
            <v>13.261762999999998</v>
          </cell>
          <cell r="H126">
            <v>614470.52684199996</v>
          </cell>
          <cell r="I126">
            <v>28.063013698630137</v>
          </cell>
          <cell r="J126" t="str">
            <v>Асфальт</v>
          </cell>
          <cell r="K126">
            <v>0</v>
          </cell>
          <cell r="L126">
            <v>17</v>
          </cell>
          <cell r="M126">
            <v>0.8</v>
          </cell>
          <cell r="N126">
            <v>0</v>
          </cell>
          <cell r="O126">
            <v>0</v>
          </cell>
          <cell r="P126">
            <v>0.8</v>
          </cell>
          <cell r="Q126">
            <v>0</v>
          </cell>
          <cell r="R126" t="e">
            <v>#DIV/0!</v>
          </cell>
          <cell r="S126">
            <v>0</v>
          </cell>
          <cell r="T126">
            <v>122894</v>
          </cell>
          <cell r="U126" t="e">
            <v>#DIV/0!</v>
          </cell>
          <cell r="V126" t="e">
            <v>#DIV/0!</v>
          </cell>
          <cell r="W126">
            <v>0</v>
          </cell>
          <cell r="X126">
            <v>0</v>
          </cell>
          <cell r="Y126">
            <v>0</v>
          </cell>
          <cell r="Z126" t="str">
            <v/>
          </cell>
          <cell r="AA126" t="str">
            <v/>
          </cell>
          <cell r="AB126" t="e">
            <v>#VALUE!</v>
          </cell>
          <cell r="AC126">
            <v>0</v>
          </cell>
          <cell r="AD126" t="str">
            <v>Не рассчитывалась</v>
          </cell>
          <cell r="AE126" t="str">
            <v>Не рассчитывалась</v>
          </cell>
          <cell r="AF126" t="e">
            <v>#VALUE!</v>
          </cell>
          <cell r="AG126">
            <v>0</v>
          </cell>
          <cell r="AH126" t="str">
            <v>не будет использоваться</v>
          </cell>
          <cell r="AI126" t="str">
            <v>Уточнить состояние по фото</v>
          </cell>
          <cell r="AL126">
            <v>0</v>
          </cell>
          <cell r="AM126" t="str">
            <v>Не рассчитывалась</v>
          </cell>
        </row>
        <row r="127">
          <cell r="A127">
            <v>179</v>
          </cell>
          <cell r="B127">
            <v>571</v>
          </cell>
          <cell r="C127" t="str">
            <v>Авто-дорога с твердым покрытием к бр2(1)</v>
          </cell>
          <cell r="D127">
            <v>32492</v>
          </cell>
          <cell r="E127">
            <v>32492</v>
          </cell>
          <cell r="F127">
            <v>2502</v>
          </cell>
          <cell r="G127">
            <v>13.261762999999998</v>
          </cell>
          <cell r="H127">
            <v>33180.931025999998</v>
          </cell>
          <cell r="I127">
            <v>27.06027397260274</v>
          </cell>
          <cell r="J127" t="str">
            <v>Асфальт</v>
          </cell>
          <cell r="K127">
            <v>0</v>
          </cell>
          <cell r="L127">
            <v>17</v>
          </cell>
          <cell r="M127">
            <v>0.8</v>
          </cell>
          <cell r="N127">
            <v>0</v>
          </cell>
          <cell r="O127">
            <v>0</v>
          </cell>
          <cell r="P127">
            <v>0.8</v>
          </cell>
          <cell r="Q127">
            <v>0</v>
          </cell>
          <cell r="R127" t="e">
            <v>#DIV/0!</v>
          </cell>
          <cell r="S127">
            <v>0</v>
          </cell>
          <cell r="T127">
            <v>6636</v>
          </cell>
          <cell r="U127" t="e">
            <v>#DIV/0!</v>
          </cell>
          <cell r="V127" t="e">
            <v>#DIV/0!</v>
          </cell>
          <cell r="W127">
            <v>0</v>
          </cell>
          <cell r="X127">
            <v>0</v>
          </cell>
          <cell r="Y127">
            <v>0</v>
          </cell>
          <cell r="Z127" t="str">
            <v/>
          </cell>
          <cell r="AA127" t="str">
            <v/>
          </cell>
          <cell r="AB127" t="e">
            <v>#VALUE!</v>
          </cell>
          <cell r="AC127">
            <v>0</v>
          </cell>
          <cell r="AD127" t="str">
            <v>Не рассчитывалась</v>
          </cell>
          <cell r="AE127" t="str">
            <v>Не рассчитывалась</v>
          </cell>
          <cell r="AF127" t="e">
            <v>#VALUE!</v>
          </cell>
          <cell r="AG127">
            <v>0</v>
          </cell>
          <cell r="AH127" t="str">
            <v>не будет использоваться</v>
          </cell>
          <cell r="AI127" t="str">
            <v>Уточнить состояние по фото</v>
          </cell>
          <cell r="AL127">
            <v>0</v>
          </cell>
          <cell r="AM127" t="str">
            <v>Не рассчитывалась</v>
          </cell>
        </row>
        <row r="128">
          <cell r="A128">
            <v>180</v>
          </cell>
          <cell r="B128">
            <v>563</v>
          </cell>
          <cell r="C128" t="str">
            <v>Авто-дорога с твердым покрытием ул.Ленина</v>
          </cell>
          <cell r="D128">
            <v>33222</v>
          </cell>
          <cell r="E128">
            <v>33222</v>
          </cell>
          <cell r="F128">
            <v>71326</v>
          </cell>
          <cell r="G128">
            <v>13.261762999999998</v>
          </cell>
          <cell r="H128">
            <v>945908.5077379999</v>
          </cell>
          <cell r="I128">
            <v>25.06027397260274</v>
          </cell>
          <cell r="J128" t="str">
            <v>Асфальт</v>
          </cell>
          <cell r="K128">
            <v>0</v>
          </cell>
          <cell r="L128">
            <v>17</v>
          </cell>
          <cell r="M128">
            <v>0.8</v>
          </cell>
          <cell r="N128">
            <v>0</v>
          </cell>
          <cell r="O128">
            <v>0</v>
          </cell>
          <cell r="P128">
            <v>0.8</v>
          </cell>
          <cell r="Q128">
            <v>0</v>
          </cell>
          <cell r="R128" t="e">
            <v>#DIV/0!</v>
          </cell>
          <cell r="S128">
            <v>0</v>
          </cell>
          <cell r="T128">
            <v>189182</v>
          </cell>
          <cell r="U128" t="e">
            <v>#DIV/0!</v>
          </cell>
          <cell r="V128" t="e">
            <v>#DIV/0!</v>
          </cell>
          <cell r="W128">
            <v>0</v>
          </cell>
          <cell r="X128">
            <v>0</v>
          </cell>
          <cell r="Y128">
            <v>0</v>
          </cell>
          <cell r="Z128" t="str">
            <v/>
          </cell>
          <cell r="AA128" t="str">
            <v/>
          </cell>
          <cell r="AB128" t="e">
            <v>#VALUE!</v>
          </cell>
          <cell r="AC128">
            <v>0</v>
          </cell>
          <cell r="AD128" t="str">
            <v>Не рассчитывалась</v>
          </cell>
          <cell r="AE128" t="str">
            <v>Не рассчитывалась</v>
          </cell>
          <cell r="AF128" t="e">
            <v>#VALUE!</v>
          </cell>
          <cell r="AG128">
            <v>0</v>
          </cell>
          <cell r="AH128" t="str">
            <v>не будет использоваться</v>
          </cell>
          <cell r="AI128" t="str">
            <v>Уточнить состояние по фото</v>
          </cell>
          <cell r="AL128">
            <v>0</v>
          </cell>
          <cell r="AM128" t="str">
            <v>Не рассчитывалась</v>
          </cell>
        </row>
        <row r="129">
          <cell r="A129">
            <v>181</v>
          </cell>
          <cell r="B129">
            <v>566</v>
          </cell>
          <cell r="C129" t="str">
            <v>Авто-дорога с твердым покрытием ул.Набережная</v>
          </cell>
          <cell r="D129">
            <v>33587</v>
          </cell>
          <cell r="E129">
            <v>33587</v>
          </cell>
          <cell r="F129">
            <v>461745</v>
          </cell>
          <cell r="G129">
            <v>13.261762999999998</v>
          </cell>
          <cell r="H129">
            <v>6123552.7564349994</v>
          </cell>
          <cell r="I129">
            <v>24.06027397260274</v>
          </cell>
          <cell r="J129" t="str">
            <v>Асфальт</v>
          </cell>
          <cell r="K129">
            <v>0</v>
          </cell>
          <cell r="L129">
            <v>17</v>
          </cell>
          <cell r="M129">
            <v>0.8</v>
          </cell>
          <cell r="N129">
            <v>0</v>
          </cell>
          <cell r="O129">
            <v>0</v>
          </cell>
          <cell r="P129">
            <v>0.8</v>
          </cell>
          <cell r="Q129">
            <v>0</v>
          </cell>
          <cell r="R129" t="e">
            <v>#DIV/0!</v>
          </cell>
          <cell r="S129" t="str">
            <v>Не соответствует</v>
          </cell>
          <cell r="T129">
            <v>1224711</v>
          </cell>
          <cell r="U129" t="e">
            <v>#DIV/0!</v>
          </cell>
          <cell r="V129" t="e">
            <v>#DIV/0!</v>
          </cell>
          <cell r="W129" t="str">
            <v>Соответствует</v>
          </cell>
          <cell r="X129">
            <v>0</v>
          </cell>
          <cell r="Y129">
            <v>0</v>
          </cell>
          <cell r="Z129" t="str">
            <v/>
          </cell>
          <cell r="AA129" t="str">
            <v/>
          </cell>
          <cell r="AB129" t="e">
            <v>#VALUE!</v>
          </cell>
          <cell r="AC129" t="str">
            <v>Не рассчитывалась</v>
          </cell>
          <cell r="AD129" t="str">
            <v>Не рассчитывалась</v>
          </cell>
          <cell r="AE129" t="str">
            <v>Не рассчитывалась</v>
          </cell>
          <cell r="AF129" t="e">
            <v>#VALUE!</v>
          </cell>
          <cell r="AG129">
            <v>0</v>
          </cell>
          <cell r="AH129" t="str">
            <v>будет использоваться</v>
          </cell>
          <cell r="AI129" t="str">
            <v>Уточнить состояние по фото</v>
          </cell>
          <cell r="AJ12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9">
            <v>1224711</v>
          </cell>
          <cell r="AM129" t="str">
            <v>По сроку службы</v>
          </cell>
        </row>
        <row r="130">
          <cell r="A130">
            <v>182</v>
          </cell>
          <cell r="B130">
            <v>567</v>
          </cell>
          <cell r="C130" t="str">
            <v>Авто-дорога с твердым покрытием ул.Октябрьская</v>
          </cell>
          <cell r="D130">
            <v>27743</v>
          </cell>
          <cell r="E130">
            <v>27743</v>
          </cell>
          <cell r="F130">
            <v>1721223</v>
          </cell>
          <cell r="G130">
            <v>13.261762999999998</v>
          </cell>
          <cell r="H130">
            <v>22826451.496148996</v>
          </cell>
          <cell r="I130">
            <v>40.07123287671233</v>
          </cell>
          <cell r="J130" t="str">
            <v>Асфальт</v>
          </cell>
          <cell r="K130">
            <v>0</v>
          </cell>
          <cell r="L130">
            <v>17</v>
          </cell>
          <cell r="M130">
            <v>0.8</v>
          </cell>
          <cell r="N130">
            <v>0</v>
          </cell>
          <cell r="O130">
            <v>0</v>
          </cell>
          <cell r="P130">
            <v>0.8</v>
          </cell>
          <cell r="Q130">
            <v>0</v>
          </cell>
          <cell r="R130" t="e">
            <v>#DIV/0!</v>
          </cell>
          <cell r="S130" t="str">
            <v>Не соответствует</v>
          </cell>
          <cell r="T130">
            <v>4565290</v>
          </cell>
          <cell r="U130" t="e">
            <v>#DIV/0!</v>
          </cell>
          <cell r="V130" t="e">
            <v>#DIV/0!</v>
          </cell>
          <cell r="W130" t="str">
            <v>Соответствует</v>
          </cell>
          <cell r="X130">
            <v>0</v>
          </cell>
          <cell r="Y130">
            <v>0</v>
          </cell>
          <cell r="Z130" t="str">
            <v/>
          </cell>
          <cell r="AA130" t="str">
            <v/>
          </cell>
          <cell r="AB130" t="e">
            <v>#VALUE!</v>
          </cell>
          <cell r="AC130" t="str">
            <v>Не рассчитывалась</v>
          </cell>
          <cell r="AD130" t="str">
            <v>Не рассчитывалась</v>
          </cell>
          <cell r="AE130" t="str">
            <v>Не рассчитывалась</v>
          </cell>
          <cell r="AF130" t="e">
            <v>#VALUE!</v>
          </cell>
          <cell r="AG130">
            <v>0</v>
          </cell>
          <cell r="AH130" t="str">
            <v>будет использоваться</v>
          </cell>
          <cell r="AI130" t="str">
            <v>Уточнить состояние по фото</v>
          </cell>
          <cell r="AJ13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0">
            <v>4565290</v>
          </cell>
          <cell r="AM130" t="str">
            <v>По сроку службы</v>
          </cell>
        </row>
        <row r="131">
          <cell r="A131">
            <v>183</v>
          </cell>
          <cell r="B131">
            <v>564</v>
          </cell>
          <cell r="C131" t="str">
            <v>Авто-дорога с твердым покрытием ул.Первомайская</v>
          </cell>
          <cell r="D131">
            <v>33587</v>
          </cell>
          <cell r="E131">
            <v>33587</v>
          </cell>
          <cell r="F131">
            <v>175188</v>
          </cell>
          <cell r="G131">
            <v>13.261762999999998</v>
          </cell>
          <cell r="H131">
            <v>2323301.7364439997</v>
          </cell>
          <cell r="I131">
            <v>24.06027397260274</v>
          </cell>
          <cell r="J131" t="str">
            <v>Асфальт</v>
          </cell>
          <cell r="K131">
            <v>0</v>
          </cell>
          <cell r="L131">
            <v>17</v>
          </cell>
          <cell r="M131">
            <v>0.8</v>
          </cell>
          <cell r="N131">
            <v>0</v>
          </cell>
          <cell r="O131">
            <v>0</v>
          </cell>
          <cell r="P131">
            <v>0.8</v>
          </cell>
          <cell r="Q131">
            <v>0</v>
          </cell>
          <cell r="R131" t="e">
            <v>#DIV/0!</v>
          </cell>
          <cell r="S131">
            <v>0</v>
          </cell>
          <cell r="T131">
            <v>464660</v>
          </cell>
          <cell r="U131" t="e">
            <v>#DIV/0!</v>
          </cell>
          <cell r="V131" t="e">
            <v>#DIV/0!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 t="str">
            <v/>
          </cell>
          <cell r="AB131" t="e">
            <v>#VALUE!</v>
          </cell>
          <cell r="AC131">
            <v>0</v>
          </cell>
          <cell r="AD131" t="str">
            <v>Не рассчитывалась</v>
          </cell>
          <cell r="AE131" t="str">
            <v>Не рассчитывалась</v>
          </cell>
          <cell r="AF131" t="e">
            <v>#VALUE!</v>
          </cell>
          <cell r="AG131">
            <v>0</v>
          </cell>
          <cell r="AH131" t="str">
            <v>не будет использоваться</v>
          </cell>
          <cell r="AI131" t="str">
            <v>Уточнить состояние по фото</v>
          </cell>
          <cell r="AL131">
            <v>0</v>
          </cell>
          <cell r="AM131" t="str">
            <v>Не рассчитывалась</v>
          </cell>
        </row>
        <row r="132">
          <cell r="A132">
            <v>184</v>
          </cell>
          <cell r="B132">
            <v>565</v>
          </cell>
          <cell r="C132" t="str">
            <v>Авто-дорога с твердым покрытием ул.Советская</v>
          </cell>
          <cell r="D132">
            <v>33587</v>
          </cell>
          <cell r="E132">
            <v>33587</v>
          </cell>
          <cell r="F132">
            <v>65695</v>
          </cell>
          <cell r="G132">
            <v>13.261762999999998</v>
          </cell>
          <cell r="H132">
            <v>871231.52028499986</v>
          </cell>
          <cell r="I132">
            <v>24.06027397260274</v>
          </cell>
          <cell r="J132" t="str">
            <v>Асфальт</v>
          </cell>
          <cell r="K132">
            <v>0</v>
          </cell>
          <cell r="L132">
            <v>17</v>
          </cell>
          <cell r="M132">
            <v>0.8</v>
          </cell>
          <cell r="N132">
            <v>0</v>
          </cell>
          <cell r="O132">
            <v>0</v>
          </cell>
          <cell r="P132">
            <v>0.8</v>
          </cell>
          <cell r="Q132">
            <v>0</v>
          </cell>
          <cell r="R132" t="e">
            <v>#DIV/0!</v>
          </cell>
          <cell r="S132">
            <v>0</v>
          </cell>
          <cell r="T132">
            <v>174246</v>
          </cell>
          <cell r="U132" t="e">
            <v>#DIV/0!</v>
          </cell>
          <cell r="V132" t="e">
            <v>#DIV/0!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 t="str">
            <v/>
          </cell>
          <cell r="AB132" t="e">
            <v>#VALUE!</v>
          </cell>
          <cell r="AC132">
            <v>0</v>
          </cell>
          <cell r="AD132" t="str">
            <v>Не рассчитывалась</v>
          </cell>
          <cell r="AE132" t="str">
            <v>Не рассчитывалась</v>
          </cell>
          <cell r="AF132" t="e">
            <v>#VALUE!</v>
          </cell>
          <cell r="AG132">
            <v>0</v>
          </cell>
          <cell r="AH132" t="str">
            <v>не будет использоваться</v>
          </cell>
          <cell r="AI132" t="str">
            <v>Уточнить состояние по фото</v>
          </cell>
          <cell r="AL132">
            <v>0</v>
          </cell>
          <cell r="AM132" t="str">
            <v>Не рассчитывалась</v>
          </cell>
        </row>
        <row r="133">
          <cell r="A133">
            <v>185</v>
          </cell>
          <cell r="B133">
            <v>2704</v>
          </cell>
          <cell r="C133" t="str">
            <v>Авто-дорога твердым покрытием ул.Красная</v>
          </cell>
          <cell r="D133">
            <v>33587</v>
          </cell>
          <cell r="E133">
            <v>33587</v>
          </cell>
          <cell r="F133">
            <v>168931</v>
          </cell>
          <cell r="G133">
            <v>13.261762999999998</v>
          </cell>
          <cell r="H133">
            <v>2240322.8853529999</v>
          </cell>
          <cell r="I133">
            <v>24.06027397260274</v>
          </cell>
          <cell r="J133" t="str">
            <v>Асфальт</v>
          </cell>
          <cell r="K133">
            <v>0</v>
          </cell>
          <cell r="L133">
            <v>17</v>
          </cell>
          <cell r="M133">
            <v>0.8</v>
          </cell>
          <cell r="N133">
            <v>0</v>
          </cell>
          <cell r="O133">
            <v>0</v>
          </cell>
          <cell r="P133">
            <v>0.8</v>
          </cell>
          <cell r="Q133">
            <v>126698.2</v>
          </cell>
          <cell r="R133" t="e">
            <v>#DIV/0!</v>
          </cell>
          <cell r="S133">
            <v>0</v>
          </cell>
          <cell r="T133">
            <v>448065</v>
          </cell>
          <cell r="U133" t="e">
            <v>#DIV/0!</v>
          </cell>
          <cell r="V133">
            <v>3.5364748670462562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 t="str">
            <v/>
          </cell>
          <cell r="AB133" t="e">
            <v>#VALUE!</v>
          </cell>
          <cell r="AC133">
            <v>0</v>
          </cell>
          <cell r="AD133" t="str">
            <v>Не рассчитывалась</v>
          </cell>
          <cell r="AE133" t="str">
            <v>Не рассчитывалась</v>
          </cell>
          <cell r="AF133" t="e">
            <v>#VALUE!</v>
          </cell>
          <cell r="AG133">
            <v>0</v>
          </cell>
          <cell r="AH133" t="str">
            <v>не будет использоваться</v>
          </cell>
          <cell r="AI133" t="str">
            <v>Уточнить состояние по фото</v>
          </cell>
          <cell r="AL133">
            <v>0</v>
          </cell>
          <cell r="AM133" t="str">
            <v>Не рассчитывалась</v>
          </cell>
        </row>
        <row r="134">
          <cell r="A134">
            <v>186</v>
          </cell>
          <cell r="B134">
            <v>506</v>
          </cell>
          <cell r="C134" t="str">
            <v>Артезианская скважина  № 4488 гл. 390м.(434) Литер I      Кад№ 23:11:0702000:826</v>
          </cell>
          <cell r="D134">
            <v>29570</v>
          </cell>
          <cell r="E134">
            <v>29570</v>
          </cell>
          <cell r="F134">
            <v>9000</v>
          </cell>
          <cell r="G134">
            <v>13.261762999999998</v>
          </cell>
          <cell r="H134">
            <v>119355.86699999998</v>
          </cell>
          <cell r="I134">
            <v>35.065753424657537</v>
          </cell>
          <cell r="J134" t="str">
            <v>стальная</v>
          </cell>
          <cell r="K134">
            <v>0</v>
          </cell>
          <cell r="L134">
            <v>15</v>
          </cell>
          <cell r="M134">
            <v>0.8</v>
          </cell>
          <cell r="N134">
            <v>0</v>
          </cell>
          <cell r="O134">
            <v>0</v>
          </cell>
          <cell r="P134">
            <v>0.8</v>
          </cell>
          <cell r="Q134">
            <v>0</v>
          </cell>
          <cell r="R134" t="e">
            <v>#VALUE!</v>
          </cell>
          <cell r="S134" t="str">
            <v>Не соответствует</v>
          </cell>
          <cell r="T134">
            <v>23871</v>
          </cell>
          <cell r="U134" t="e">
            <v>#VALUE!</v>
          </cell>
          <cell r="V134" t="e">
            <v>#DIV/0!</v>
          </cell>
          <cell r="W134" t="str">
            <v>Соответствует</v>
          </cell>
          <cell r="X134">
            <v>0</v>
          </cell>
          <cell r="Y134">
            <v>0</v>
          </cell>
          <cell r="Z134" t="str">
            <v/>
          </cell>
          <cell r="AA134" t="str">
            <v/>
          </cell>
          <cell r="AB134" t="e">
            <v>#VALUE!</v>
          </cell>
          <cell r="AC134" t="str">
            <v>Не рассчитывалась</v>
          </cell>
          <cell r="AD134" t="str">
            <v>Не рассчитывалась</v>
          </cell>
          <cell r="AE134" t="str">
            <v>Не рассчитывалась</v>
          </cell>
          <cell r="AF134" t="e">
            <v>#VALUE!</v>
          </cell>
          <cell r="AG134" t="str">
            <v>глубина: 390 м.</v>
          </cell>
          <cell r="AH134" t="str">
            <v>будет использоваться</v>
          </cell>
          <cell r="AI134">
            <v>0</v>
          </cell>
          <cell r="AJ134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4">
            <v>23871</v>
          </cell>
          <cell r="AM134" t="str">
            <v>По сроку службы</v>
          </cell>
        </row>
        <row r="135">
          <cell r="A135">
            <v>187</v>
          </cell>
          <cell r="B135">
            <v>513</v>
          </cell>
          <cell r="C135" t="str">
            <v>Артезианская скважина -№5751 Литер: V Кад№ 23:11:0702000:781</v>
          </cell>
          <cell r="D135">
            <v>32126</v>
          </cell>
          <cell r="E135">
            <v>32126</v>
          </cell>
          <cell r="F135">
            <v>13806</v>
          </cell>
          <cell r="G135">
            <v>13.261762999999998</v>
          </cell>
          <cell r="H135">
            <v>183091.89997799997</v>
          </cell>
          <cell r="I135">
            <v>28.063013698630137</v>
          </cell>
          <cell r="J135" t="str">
            <v>стальная</v>
          </cell>
          <cell r="K135">
            <v>0</v>
          </cell>
          <cell r="L135">
            <v>15</v>
          </cell>
          <cell r="M135">
            <v>0.8</v>
          </cell>
          <cell r="N135">
            <v>0</v>
          </cell>
          <cell r="O135">
            <v>0</v>
          </cell>
          <cell r="P135">
            <v>0.8</v>
          </cell>
          <cell r="Q135">
            <v>0</v>
          </cell>
          <cell r="R135" t="e">
            <v>#VALUE!</v>
          </cell>
          <cell r="S135" t="str">
            <v>Не соответствует</v>
          </cell>
          <cell r="T135">
            <v>36618</v>
          </cell>
          <cell r="U135" t="e">
            <v>#VALUE!</v>
          </cell>
          <cell r="V135" t="e">
            <v>#DIV/0!</v>
          </cell>
          <cell r="W135" t="str">
            <v>Соответствует</v>
          </cell>
          <cell r="X135">
            <v>0</v>
          </cell>
          <cell r="Y135">
            <v>0</v>
          </cell>
          <cell r="Z135" t="str">
            <v/>
          </cell>
          <cell r="AA135" t="str">
            <v/>
          </cell>
          <cell r="AB135" t="e">
            <v>#VALUE!</v>
          </cell>
          <cell r="AC135" t="str">
            <v>Не рассчитывалась</v>
          </cell>
          <cell r="AD135" t="str">
            <v>Не рассчитывалась</v>
          </cell>
          <cell r="AE135" t="str">
            <v>Не рассчитывалась</v>
          </cell>
          <cell r="AF135" t="e">
            <v>#VALUE!</v>
          </cell>
          <cell r="AG135" t="str">
            <v>Высота 386 м.</v>
          </cell>
          <cell r="AH135" t="str">
            <v>будет использоваться</v>
          </cell>
          <cell r="AI135">
            <v>0</v>
          </cell>
          <cell r="AJ135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5">
            <v>36618</v>
          </cell>
          <cell r="AM135" t="str">
            <v>По сроку службы</v>
          </cell>
        </row>
        <row r="136">
          <cell r="A136">
            <v>188</v>
          </cell>
          <cell r="B136">
            <v>514</v>
          </cell>
          <cell r="C136" t="str">
            <v>Артезианская скважина №4481 Гл.386м (Артскважина -25 м3/час) Кад№ 23:11:0702000:829</v>
          </cell>
          <cell r="D136">
            <v>27743</v>
          </cell>
          <cell r="E136">
            <v>27743</v>
          </cell>
          <cell r="F136">
            <v>4112</v>
          </cell>
          <cell r="G136">
            <v>13.261762999999998</v>
          </cell>
          <cell r="H136">
            <v>54532.369455999993</v>
          </cell>
          <cell r="I136">
            <v>40.07123287671233</v>
          </cell>
          <cell r="J136" t="str">
            <v>стальная</v>
          </cell>
          <cell r="K136">
            <v>0</v>
          </cell>
          <cell r="L136">
            <v>15</v>
          </cell>
          <cell r="M136">
            <v>0.8</v>
          </cell>
          <cell r="N136">
            <v>0</v>
          </cell>
          <cell r="O136">
            <v>0</v>
          </cell>
          <cell r="P136">
            <v>0.8</v>
          </cell>
          <cell r="Q136">
            <v>0</v>
          </cell>
          <cell r="R136" t="e">
            <v>#VALUE!</v>
          </cell>
          <cell r="S136" t="str">
            <v>Не соответствует</v>
          </cell>
          <cell r="T136">
            <v>10906</v>
          </cell>
          <cell r="U136" t="e">
            <v>#VALUE!</v>
          </cell>
          <cell r="V136" t="e">
            <v>#DIV/0!</v>
          </cell>
          <cell r="W136" t="str">
            <v>Соответствует</v>
          </cell>
          <cell r="X136">
            <v>0</v>
          </cell>
          <cell r="Y136">
            <v>0</v>
          </cell>
          <cell r="Z136" t="str">
            <v/>
          </cell>
          <cell r="AA136" t="str">
            <v/>
          </cell>
          <cell r="AB136" t="e">
            <v>#VALUE!</v>
          </cell>
          <cell r="AC136" t="str">
            <v>Не рассчитывалась</v>
          </cell>
          <cell r="AD136" t="str">
            <v>Не рассчитывалась</v>
          </cell>
          <cell r="AE136" t="str">
            <v>Не рассчитывалась</v>
          </cell>
          <cell r="AF136" t="e">
            <v>#VALUE!</v>
          </cell>
          <cell r="AG136" t="str">
            <v>глубина: 386 м</v>
          </cell>
          <cell r="AH136" t="str">
            <v>будет использоваться</v>
          </cell>
          <cell r="AI136">
            <v>0</v>
          </cell>
          <cell r="AJ13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6">
            <v>10906</v>
          </cell>
          <cell r="AM136" t="str">
            <v>По сроку службы</v>
          </cell>
        </row>
        <row r="137">
          <cell r="A137">
            <v>189</v>
          </cell>
          <cell r="B137">
            <v>510</v>
          </cell>
          <cell r="C137" t="str">
            <v>Артезианская скважина №5229 (Артскважина 60 м3/час (386)  Кад№  23:11:0702000:816</v>
          </cell>
          <cell r="D137">
            <v>28125</v>
          </cell>
          <cell r="E137">
            <v>28125</v>
          </cell>
          <cell r="F137">
            <v>49572</v>
          </cell>
          <cell r="G137">
            <v>13.261762999999998</v>
          </cell>
          <cell r="H137">
            <v>657412.11543599993</v>
          </cell>
          <cell r="I137">
            <v>39.024657534246572</v>
          </cell>
          <cell r="J137" t="str">
            <v>стальная</v>
          </cell>
          <cell r="K137">
            <v>0</v>
          </cell>
          <cell r="L137">
            <v>15</v>
          </cell>
          <cell r="M137">
            <v>0.8</v>
          </cell>
          <cell r="N137">
            <v>0</v>
          </cell>
          <cell r="O137">
            <v>0</v>
          </cell>
          <cell r="P137">
            <v>0.8</v>
          </cell>
          <cell r="Q137">
            <v>0</v>
          </cell>
          <cell r="R137" t="e">
            <v>#VALUE!</v>
          </cell>
          <cell r="S137" t="str">
            <v>Не соответствует</v>
          </cell>
          <cell r="T137">
            <v>131482</v>
          </cell>
          <cell r="U137" t="e">
            <v>#VALUE!</v>
          </cell>
          <cell r="V137" t="e">
            <v>#DIV/0!</v>
          </cell>
          <cell r="W137" t="str">
            <v>Соответствует</v>
          </cell>
          <cell r="X137">
            <v>0</v>
          </cell>
          <cell r="Y137">
            <v>0</v>
          </cell>
          <cell r="Z137" t="str">
            <v/>
          </cell>
          <cell r="AA137" t="str">
            <v/>
          </cell>
          <cell r="AB137" t="e">
            <v>#VALUE!</v>
          </cell>
          <cell r="AC137" t="str">
            <v>Не рассчитывалась</v>
          </cell>
          <cell r="AD137" t="str">
            <v>Не рассчитывалась</v>
          </cell>
          <cell r="AE137" t="str">
            <v>Не рассчитывалась</v>
          </cell>
          <cell r="AF137" t="e">
            <v>#VALUE!</v>
          </cell>
          <cell r="AG137" t="str">
            <v>глубина: 375 м.</v>
          </cell>
          <cell r="AH137" t="str">
            <v>будет использоваться</v>
          </cell>
          <cell r="AI137">
            <v>0</v>
          </cell>
          <cell r="AJ13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7">
            <v>131482</v>
          </cell>
          <cell r="AM137" t="str">
            <v>По сроку службы</v>
          </cell>
        </row>
        <row r="138">
          <cell r="A138">
            <v>190</v>
          </cell>
          <cell r="B138">
            <v>515</v>
          </cell>
          <cell r="C138" t="str">
            <v>Артезианская скважина №5268  (Артскважина (480)  Кад№ 23:11:0702000:818</v>
          </cell>
          <cell r="D138">
            <v>28109</v>
          </cell>
          <cell r="E138">
            <v>28109</v>
          </cell>
          <cell r="F138">
            <v>61932</v>
          </cell>
          <cell r="G138">
            <v>13.261762999999998</v>
          </cell>
          <cell r="H138">
            <v>821327.50611599989</v>
          </cell>
          <cell r="I138">
            <v>39.06849315068493</v>
          </cell>
          <cell r="J138" t="str">
            <v>стальная</v>
          </cell>
          <cell r="K138">
            <v>0</v>
          </cell>
          <cell r="L138">
            <v>15</v>
          </cell>
          <cell r="M138">
            <v>0.8</v>
          </cell>
          <cell r="N138">
            <v>0</v>
          </cell>
          <cell r="O138">
            <v>0</v>
          </cell>
          <cell r="P138">
            <v>0.8</v>
          </cell>
          <cell r="Q138">
            <v>0</v>
          </cell>
          <cell r="R138" t="e">
            <v>#VALUE!</v>
          </cell>
          <cell r="S138" t="str">
            <v>Не соответствует</v>
          </cell>
          <cell r="T138">
            <v>164266</v>
          </cell>
          <cell r="U138" t="e">
            <v>#VALUE!</v>
          </cell>
          <cell r="V138" t="e">
            <v>#DIV/0!</v>
          </cell>
          <cell r="W138" t="str">
            <v>Соответствует</v>
          </cell>
          <cell r="X138">
            <v>0</v>
          </cell>
          <cell r="Y138">
            <v>0</v>
          </cell>
          <cell r="Z138" t="str">
            <v/>
          </cell>
          <cell r="AA138" t="str">
            <v/>
          </cell>
          <cell r="AB138" t="e">
            <v>#VALUE!</v>
          </cell>
          <cell r="AC138" t="str">
            <v>Не рассчитывалась</v>
          </cell>
          <cell r="AD138" t="str">
            <v>Не рассчитывалась</v>
          </cell>
          <cell r="AE138" t="str">
            <v>Не рассчитывалась</v>
          </cell>
          <cell r="AF138" t="e">
            <v>#VALUE!</v>
          </cell>
          <cell r="AG138" t="str">
            <v>глубина: 375 м.</v>
          </cell>
          <cell r="AH138" t="str">
            <v>будет использоваться</v>
          </cell>
          <cell r="AI138">
            <v>0</v>
          </cell>
          <cell r="AJ13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8">
            <v>164266</v>
          </cell>
          <cell r="AM138" t="str">
            <v>По сроку службы</v>
          </cell>
        </row>
        <row r="139">
          <cell r="A139">
            <v>191</v>
          </cell>
          <cell r="B139">
            <v>508</v>
          </cell>
          <cell r="C139" t="str">
            <v>Артезианская скважина №7122 (Артскважина 328) Кад№ 23:11:0702000:817</v>
          </cell>
          <cell r="D139">
            <v>32492</v>
          </cell>
          <cell r="E139">
            <v>32492</v>
          </cell>
          <cell r="F139">
            <v>55656</v>
          </cell>
          <cell r="G139">
            <v>13.261762999999998</v>
          </cell>
          <cell r="H139">
            <v>738096.68152799993</v>
          </cell>
          <cell r="I139">
            <v>27.06027397260274</v>
          </cell>
          <cell r="J139" t="str">
            <v>стальная</v>
          </cell>
          <cell r="K139">
            <v>0</v>
          </cell>
          <cell r="L139">
            <v>15</v>
          </cell>
          <cell r="M139">
            <v>0.8</v>
          </cell>
          <cell r="N139">
            <v>0</v>
          </cell>
          <cell r="O139">
            <v>0</v>
          </cell>
          <cell r="P139">
            <v>0.8</v>
          </cell>
          <cell r="Q139">
            <v>0</v>
          </cell>
          <cell r="R139" t="e">
            <v>#VALUE!</v>
          </cell>
          <cell r="S139" t="str">
            <v>Не соответствует</v>
          </cell>
          <cell r="T139">
            <v>147619</v>
          </cell>
          <cell r="U139" t="e">
            <v>#VALUE!</v>
          </cell>
          <cell r="V139" t="e">
            <v>#DIV/0!</v>
          </cell>
          <cell r="W139" t="str">
            <v>Соответствует</v>
          </cell>
          <cell r="X139">
            <v>0</v>
          </cell>
          <cell r="Y139">
            <v>0</v>
          </cell>
          <cell r="Z139" t="str">
            <v/>
          </cell>
          <cell r="AA139" t="str">
            <v/>
          </cell>
          <cell r="AB139" t="e">
            <v>#VALUE!</v>
          </cell>
          <cell r="AC139" t="str">
            <v>Не рассчитывалась</v>
          </cell>
          <cell r="AD139" t="str">
            <v>Не рассчитывалась</v>
          </cell>
          <cell r="AE139" t="str">
            <v>Не рассчитывалась</v>
          </cell>
          <cell r="AF139" t="e">
            <v>#VALUE!</v>
          </cell>
          <cell r="AG139" t="str">
            <v>Глубина: 340 м</v>
          </cell>
          <cell r="AH139" t="str">
            <v>будет использоваться</v>
          </cell>
          <cell r="AI139">
            <v>0</v>
          </cell>
          <cell r="AJ13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9">
            <v>147619</v>
          </cell>
          <cell r="AM139" t="str">
            <v>По сроку службы</v>
          </cell>
        </row>
        <row r="140">
          <cell r="A140">
            <v>192</v>
          </cell>
          <cell r="B140" t="str">
            <v>Р00008424</v>
          </cell>
          <cell r="C140" t="str">
            <v>Артскважина (АТП)</v>
          </cell>
          <cell r="D140">
            <v>40513</v>
          </cell>
          <cell r="E140">
            <v>40513</v>
          </cell>
          <cell r="F140">
            <v>20889.59</v>
          </cell>
          <cell r="G140">
            <v>1.4577409162717219</v>
          </cell>
          <cell r="H140">
            <v>30451.610067140598</v>
          </cell>
          <cell r="I140">
            <v>5.0849315068493155</v>
          </cell>
          <cell r="J140" t="str">
            <v>стальная</v>
          </cell>
          <cell r="K140">
            <v>0</v>
          </cell>
          <cell r="L140">
            <v>15</v>
          </cell>
          <cell r="M140">
            <v>0.33899543378995439</v>
          </cell>
          <cell r="N140">
            <v>0</v>
          </cell>
          <cell r="O140">
            <v>0</v>
          </cell>
          <cell r="P140">
            <v>0.33899543378995434</v>
          </cell>
          <cell r="Q140">
            <v>0</v>
          </cell>
          <cell r="R140" t="e">
            <v>#VALUE!</v>
          </cell>
          <cell r="S140">
            <v>0</v>
          </cell>
          <cell r="T140">
            <v>20129</v>
          </cell>
          <cell r="U140" t="e">
            <v>#VALUE!</v>
          </cell>
          <cell r="V140" t="e">
            <v>#DIV/0!</v>
          </cell>
          <cell r="W140">
            <v>0</v>
          </cell>
          <cell r="X140">
            <v>0</v>
          </cell>
          <cell r="Y140">
            <v>0</v>
          </cell>
          <cell r="Z140" t="str">
            <v/>
          </cell>
          <cell r="AA140" t="str">
            <v/>
          </cell>
          <cell r="AB140" t="e">
            <v>#VALUE!</v>
          </cell>
          <cell r="AC140">
            <v>0</v>
          </cell>
          <cell r="AD140" t="str">
            <v>Не рассчитывалась</v>
          </cell>
          <cell r="AE140" t="str">
            <v>Не рассчитывалась</v>
          </cell>
          <cell r="AF140" t="e">
            <v>#VALUE!</v>
          </cell>
          <cell r="AG140" t="str">
            <v>Глубина 200 м.</v>
          </cell>
          <cell r="AH140" t="str">
            <v>не будет использоваться</v>
          </cell>
          <cell r="AI140">
            <v>0</v>
          </cell>
          <cell r="AL140">
            <v>0</v>
          </cell>
          <cell r="AM140" t="str">
            <v>Не рассчитывалась</v>
          </cell>
        </row>
        <row r="141">
          <cell r="A141">
            <v>193</v>
          </cell>
          <cell r="B141" t="str">
            <v>Р00008428</v>
          </cell>
          <cell r="C141" t="str">
            <v>Артскважина (АХК)</v>
          </cell>
          <cell r="D141">
            <v>40513</v>
          </cell>
          <cell r="E141">
            <v>40513</v>
          </cell>
          <cell r="F141">
            <v>10050.200000000001</v>
          </cell>
          <cell r="G141">
            <v>1.4577409162717219</v>
          </cell>
          <cell r="H141">
            <v>14650.58775671406</v>
          </cell>
          <cell r="I141">
            <v>5.0849315068493155</v>
          </cell>
          <cell r="J141" t="str">
            <v>стальная</v>
          </cell>
          <cell r="K141">
            <v>0</v>
          </cell>
          <cell r="L141">
            <v>15</v>
          </cell>
          <cell r="M141">
            <v>0.33899543378995439</v>
          </cell>
          <cell r="N141">
            <v>0</v>
          </cell>
          <cell r="O141">
            <v>0</v>
          </cell>
          <cell r="P141">
            <v>0.33899543378995434</v>
          </cell>
          <cell r="Q141">
            <v>0</v>
          </cell>
          <cell r="R141" t="e">
            <v>#VALUE!</v>
          </cell>
          <cell r="S141">
            <v>0</v>
          </cell>
          <cell r="T141">
            <v>9684</v>
          </cell>
          <cell r="U141" t="e">
            <v>#VALUE!</v>
          </cell>
          <cell r="V141" t="e">
            <v>#DIV/0!</v>
          </cell>
          <cell r="W141">
            <v>0</v>
          </cell>
          <cell r="X141">
            <v>0</v>
          </cell>
          <cell r="Y141">
            <v>0</v>
          </cell>
          <cell r="Z141" t="str">
            <v/>
          </cell>
          <cell r="AA141" t="str">
            <v/>
          </cell>
          <cell r="AB141" t="e">
            <v>#VALUE!</v>
          </cell>
          <cell r="AC141">
            <v>0</v>
          </cell>
          <cell r="AD141" t="str">
            <v>Не рассчитывалась</v>
          </cell>
          <cell r="AE141" t="str">
            <v>Не рассчитывалась</v>
          </cell>
          <cell r="AF141" t="e">
            <v>#VALUE!</v>
          </cell>
          <cell r="AG141" t="str">
            <v>Глубина 200 м.</v>
          </cell>
          <cell r="AH141" t="str">
            <v>не будет использоваться</v>
          </cell>
          <cell r="AI141">
            <v>0</v>
          </cell>
          <cell r="AL141">
            <v>0</v>
          </cell>
          <cell r="AM141" t="str">
            <v>Не рассчитывалась</v>
          </cell>
        </row>
        <row r="142">
          <cell r="A142">
            <v>194</v>
          </cell>
          <cell r="B142" t="str">
            <v>Р00008427</v>
          </cell>
          <cell r="C142" t="str">
            <v>Артскважина (бр-2)</v>
          </cell>
          <cell r="D142">
            <v>40513</v>
          </cell>
          <cell r="E142">
            <v>40513</v>
          </cell>
          <cell r="F142">
            <v>7361.91</v>
          </cell>
          <cell r="G142">
            <v>1.4577409162717219</v>
          </cell>
          <cell r="H142">
            <v>10731.757428909952</v>
          </cell>
          <cell r="I142">
            <v>5.0849315068493155</v>
          </cell>
          <cell r="J142" t="str">
            <v>стальная</v>
          </cell>
          <cell r="K142">
            <v>0</v>
          </cell>
          <cell r="L142">
            <v>15</v>
          </cell>
          <cell r="M142">
            <v>0.33899543378995439</v>
          </cell>
          <cell r="N142">
            <v>0</v>
          </cell>
          <cell r="O142">
            <v>0</v>
          </cell>
          <cell r="P142">
            <v>0.33899543378995434</v>
          </cell>
          <cell r="Q142">
            <v>0</v>
          </cell>
          <cell r="R142" t="e">
            <v>#VALUE!</v>
          </cell>
          <cell r="S142">
            <v>0</v>
          </cell>
          <cell r="T142">
            <v>7094</v>
          </cell>
          <cell r="U142" t="e">
            <v>#VALUE!</v>
          </cell>
          <cell r="V142" t="e">
            <v>#DIV/0!</v>
          </cell>
          <cell r="W142">
            <v>0</v>
          </cell>
          <cell r="X142">
            <v>0</v>
          </cell>
          <cell r="Y142">
            <v>0</v>
          </cell>
          <cell r="Z142" t="str">
            <v/>
          </cell>
          <cell r="AA142" t="str">
            <v/>
          </cell>
          <cell r="AB142" t="e">
            <v>#VALUE!</v>
          </cell>
          <cell r="AC142">
            <v>0</v>
          </cell>
          <cell r="AD142" t="str">
            <v>Не рассчитывалась</v>
          </cell>
          <cell r="AE142" t="str">
            <v>Не рассчитывалась</v>
          </cell>
          <cell r="AF142" t="e">
            <v>#VALUE!</v>
          </cell>
          <cell r="AG142" t="str">
            <v>Глубина 200 м.</v>
          </cell>
          <cell r="AH142" t="str">
            <v>не будет использоваться</v>
          </cell>
          <cell r="AI142">
            <v>0</v>
          </cell>
          <cell r="AL142">
            <v>0</v>
          </cell>
          <cell r="AM142" t="str">
            <v>Не рассчитывалась</v>
          </cell>
        </row>
        <row r="143">
          <cell r="A143">
            <v>195</v>
          </cell>
          <cell r="B143" t="str">
            <v>Р00008423</v>
          </cell>
          <cell r="C143" t="str">
            <v>Артскважина (мельница)</v>
          </cell>
          <cell r="D143">
            <v>40513</v>
          </cell>
          <cell r="E143">
            <v>40513</v>
          </cell>
          <cell r="F143">
            <v>7476.85</v>
          </cell>
          <cell r="G143">
            <v>1.4577409162717219</v>
          </cell>
          <cell r="H143">
            <v>10899.310169826224</v>
          </cell>
          <cell r="I143">
            <v>5.0849315068493155</v>
          </cell>
          <cell r="J143" t="str">
            <v>стальная</v>
          </cell>
          <cell r="K143">
            <v>0</v>
          </cell>
          <cell r="L143">
            <v>15</v>
          </cell>
          <cell r="M143">
            <v>0.33899543378995439</v>
          </cell>
          <cell r="N143">
            <v>0</v>
          </cell>
          <cell r="O143">
            <v>0</v>
          </cell>
          <cell r="P143">
            <v>0.33899543378995434</v>
          </cell>
          <cell r="Q143">
            <v>0</v>
          </cell>
          <cell r="R143" t="e">
            <v>#VALUE!</v>
          </cell>
          <cell r="S143">
            <v>0</v>
          </cell>
          <cell r="T143">
            <v>7204</v>
          </cell>
          <cell r="U143" t="e">
            <v>#VALUE!</v>
          </cell>
          <cell r="V143" t="e">
            <v>#DIV/0!</v>
          </cell>
          <cell r="W143">
            <v>0</v>
          </cell>
          <cell r="X143">
            <v>0</v>
          </cell>
          <cell r="Y143">
            <v>0</v>
          </cell>
          <cell r="Z143" t="str">
            <v/>
          </cell>
          <cell r="AA143" t="str">
            <v/>
          </cell>
          <cell r="AB143" t="e">
            <v>#VALUE!</v>
          </cell>
          <cell r="AC143">
            <v>0</v>
          </cell>
          <cell r="AD143" t="str">
            <v>Не рассчитывалась</v>
          </cell>
          <cell r="AE143" t="str">
            <v>Не рассчитывалась</v>
          </cell>
          <cell r="AF143" t="e">
            <v>#VALUE!</v>
          </cell>
          <cell r="AG143" t="str">
            <v>Глубина 200 м.</v>
          </cell>
          <cell r="AH143" t="str">
            <v>не будет использоваться</v>
          </cell>
          <cell r="AI143">
            <v>0</v>
          </cell>
          <cell r="AL143">
            <v>0</v>
          </cell>
          <cell r="AM143" t="str">
            <v>Не рассчитывалась</v>
          </cell>
        </row>
        <row r="144">
          <cell r="A144">
            <v>196</v>
          </cell>
          <cell r="B144" t="str">
            <v>Р00008635</v>
          </cell>
          <cell r="C144" t="str">
            <v>Артскважина (МТФ№5)</v>
          </cell>
          <cell r="D144">
            <v>40842</v>
          </cell>
          <cell r="E144">
            <v>40842</v>
          </cell>
          <cell r="F144">
            <v>17168.95</v>
          </cell>
          <cell r="G144">
            <v>1.4002276176024278</v>
          </cell>
          <cell r="H144">
            <v>24040.437955235204</v>
          </cell>
          <cell r="I144">
            <v>4.183561643835616</v>
          </cell>
          <cell r="J144" t="str">
            <v>стальная</v>
          </cell>
          <cell r="K144">
            <v>0</v>
          </cell>
          <cell r="L144">
            <v>15</v>
          </cell>
          <cell r="M144">
            <v>0.27890410958904105</v>
          </cell>
          <cell r="N144">
            <v>0</v>
          </cell>
          <cell r="O144">
            <v>0</v>
          </cell>
          <cell r="P144">
            <v>0.27890410958904099</v>
          </cell>
          <cell r="Q144">
            <v>0</v>
          </cell>
          <cell r="R144" t="e">
            <v>#VALUE!</v>
          </cell>
          <cell r="S144">
            <v>0</v>
          </cell>
          <cell r="T144">
            <v>17335</v>
          </cell>
          <cell r="U144" t="e">
            <v>#VALUE!</v>
          </cell>
          <cell r="V144" t="e">
            <v>#DIV/0!</v>
          </cell>
          <cell r="W144">
            <v>0</v>
          </cell>
          <cell r="X144">
            <v>0</v>
          </cell>
          <cell r="Y144">
            <v>0</v>
          </cell>
          <cell r="Z144" t="str">
            <v/>
          </cell>
          <cell r="AA144" t="str">
            <v/>
          </cell>
          <cell r="AB144" t="e">
            <v>#VALUE!</v>
          </cell>
          <cell r="AC144">
            <v>0</v>
          </cell>
          <cell r="AD144" t="str">
            <v>Не рассчитывалась</v>
          </cell>
          <cell r="AE144" t="str">
            <v>Не рассчитывалась</v>
          </cell>
          <cell r="AF144" t="e">
            <v>#VALUE!</v>
          </cell>
          <cell r="AG144" t="str">
            <v>Глубина 200 м.</v>
          </cell>
          <cell r="AH144" t="str">
            <v>не будет использоваться</v>
          </cell>
          <cell r="AI144">
            <v>0</v>
          </cell>
          <cell r="AL144">
            <v>0</v>
          </cell>
          <cell r="AM144" t="str">
            <v>Не рассчитывалась</v>
          </cell>
        </row>
        <row r="145">
          <cell r="A145">
            <v>197</v>
          </cell>
          <cell r="B145" t="str">
            <v>Р00008633</v>
          </cell>
          <cell r="C145" t="str">
            <v>Артскважина (хим.склад)</v>
          </cell>
          <cell r="D145">
            <v>40842</v>
          </cell>
          <cell r="E145">
            <v>40842</v>
          </cell>
          <cell r="F145">
            <v>8783.73</v>
          </cell>
          <cell r="G145">
            <v>1.4002276176024278</v>
          </cell>
          <cell r="H145">
            <v>12299.221331562972</v>
          </cell>
          <cell r="I145">
            <v>4.183561643835616</v>
          </cell>
          <cell r="J145" t="str">
            <v>стальная</v>
          </cell>
          <cell r="K145">
            <v>0</v>
          </cell>
          <cell r="L145">
            <v>15</v>
          </cell>
          <cell r="M145">
            <v>0.27890410958904105</v>
          </cell>
          <cell r="N145">
            <v>0</v>
          </cell>
          <cell r="O145">
            <v>0</v>
          </cell>
          <cell r="P145">
            <v>0.27890410958904099</v>
          </cell>
          <cell r="Q145">
            <v>0</v>
          </cell>
          <cell r="R145" t="e">
            <v>#VALUE!</v>
          </cell>
          <cell r="S145">
            <v>0</v>
          </cell>
          <cell r="T145">
            <v>8869</v>
          </cell>
          <cell r="U145" t="e">
            <v>#VALUE!</v>
          </cell>
          <cell r="V145" t="e">
            <v>#DIV/0!</v>
          </cell>
          <cell r="W145">
            <v>0</v>
          </cell>
          <cell r="X145">
            <v>0</v>
          </cell>
          <cell r="Y145">
            <v>0</v>
          </cell>
          <cell r="Z145" t="str">
            <v/>
          </cell>
          <cell r="AA145" t="str">
            <v/>
          </cell>
          <cell r="AB145" t="e">
            <v>#VALUE!</v>
          </cell>
          <cell r="AC145">
            <v>0</v>
          </cell>
          <cell r="AD145" t="str">
            <v>Не рассчитывалась</v>
          </cell>
          <cell r="AE145" t="str">
            <v>Не рассчитывалась</v>
          </cell>
          <cell r="AF145" t="e">
            <v>#VALUE!</v>
          </cell>
          <cell r="AG145" t="str">
            <v>Глубина 200 м.</v>
          </cell>
          <cell r="AH145" t="str">
            <v>не будет использоваться</v>
          </cell>
          <cell r="AI145">
            <v>0</v>
          </cell>
          <cell r="AL145">
            <v>0</v>
          </cell>
          <cell r="AM145" t="str">
            <v>Не рассчитывалась</v>
          </cell>
        </row>
        <row r="146">
          <cell r="A146">
            <v>198</v>
          </cell>
          <cell r="B146">
            <v>516</v>
          </cell>
          <cell r="C146" t="str">
            <v>Артскважина 16м3/час</v>
          </cell>
          <cell r="D146">
            <v>33222</v>
          </cell>
          <cell r="E146">
            <v>33222</v>
          </cell>
          <cell r="F146">
            <v>54157</v>
          </cell>
          <cell r="G146">
            <v>13.261762999999998</v>
          </cell>
          <cell r="H146">
            <v>718217.29879099992</v>
          </cell>
          <cell r="I146">
            <v>25.06027397260274</v>
          </cell>
          <cell r="J146" t="str">
            <v>стальная</v>
          </cell>
          <cell r="K146">
            <v>0</v>
          </cell>
          <cell r="L146">
            <v>15</v>
          </cell>
          <cell r="M146">
            <v>0.8</v>
          </cell>
          <cell r="N146">
            <v>0</v>
          </cell>
          <cell r="O146">
            <v>0</v>
          </cell>
          <cell r="P146">
            <v>0.8</v>
          </cell>
          <cell r="Q146">
            <v>0</v>
          </cell>
          <cell r="R146" t="e">
            <v>#VALUE!</v>
          </cell>
          <cell r="S146" t="str">
            <v>Не соответствует</v>
          </cell>
          <cell r="T146">
            <v>143643</v>
          </cell>
          <cell r="U146" t="e">
            <v>#VALUE!</v>
          </cell>
          <cell r="V146" t="e">
            <v>#DIV/0!</v>
          </cell>
          <cell r="W146" t="str">
            <v>Соответствует</v>
          </cell>
          <cell r="X146">
            <v>0</v>
          </cell>
          <cell r="Y146">
            <v>0</v>
          </cell>
          <cell r="Z146" t="str">
            <v/>
          </cell>
          <cell r="AA146" t="str">
            <v/>
          </cell>
          <cell r="AB146" t="e">
            <v>#VALUE!</v>
          </cell>
          <cell r="AC146" t="str">
            <v>Не рассчитывалась</v>
          </cell>
          <cell r="AD146" t="str">
            <v>Не рассчитывалась</v>
          </cell>
          <cell r="AE146" t="str">
            <v>Не рассчитывалась</v>
          </cell>
          <cell r="AF146" t="e">
            <v>#VALUE!</v>
          </cell>
          <cell r="AG146" t="str">
            <v>Глубина 200 м.</v>
          </cell>
          <cell r="AH146" t="str">
            <v>будет использоваться</v>
          </cell>
          <cell r="AI146">
            <v>0</v>
          </cell>
          <cell r="AJ14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46">
            <v>143643</v>
          </cell>
          <cell r="AM146" t="str">
            <v>По сроку службы</v>
          </cell>
        </row>
        <row r="147">
          <cell r="A147">
            <v>202</v>
          </cell>
          <cell r="B147" t="str">
            <v>Р00010138</v>
          </cell>
          <cell r="C147" t="str">
            <v>Артскважина №4 Н  - орошение (МТФ№5)   Кад№  23:11:0702000:874</v>
          </cell>
          <cell r="D147">
            <v>41633</v>
          </cell>
          <cell r="E147">
            <v>41633</v>
          </cell>
          <cell r="F147">
            <v>3610346.89</v>
          </cell>
          <cell r="G147">
            <v>1.0161046111493461</v>
          </cell>
          <cell r="H147">
            <v>3668490.1227777014</v>
          </cell>
          <cell r="I147">
            <v>2.0164383561643837</v>
          </cell>
          <cell r="J147" t="str">
            <v>стальная</v>
          </cell>
          <cell r="K147">
            <v>0</v>
          </cell>
          <cell r="L147">
            <v>15</v>
          </cell>
          <cell r="M147">
            <v>0.13442922374429225</v>
          </cell>
          <cell r="N147">
            <v>0</v>
          </cell>
          <cell r="O147">
            <v>0</v>
          </cell>
          <cell r="P147">
            <v>0.13442922374429223</v>
          </cell>
          <cell r="Q147">
            <v>2189882.6500000004</v>
          </cell>
          <cell r="R147" t="e">
            <v>#VALUE!</v>
          </cell>
          <cell r="S147" t="str">
            <v>Не соответствует</v>
          </cell>
          <cell r="T147">
            <v>3175338</v>
          </cell>
          <cell r="U147" t="e">
            <v>#VALUE!</v>
          </cell>
          <cell r="V147">
            <v>1.4500037250854512</v>
          </cell>
          <cell r="W147" t="str">
            <v>Соответствует</v>
          </cell>
          <cell r="X147">
            <v>0</v>
          </cell>
          <cell r="Y147">
            <v>0</v>
          </cell>
          <cell r="Z147" t="str">
            <v/>
          </cell>
          <cell r="AA147" t="str">
            <v/>
          </cell>
          <cell r="AB147" t="e">
            <v>#VALUE!</v>
          </cell>
          <cell r="AC147" t="str">
            <v>Не рассчитывалась</v>
          </cell>
          <cell r="AD147" t="str">
            <v>Не рассчитывалась</v>
          </cell>
          <cell r="AE147" t="str">
            <v>Не рассчитывалась</v>
          </cell>
          <cell r="AF147" t="e">
            <v>#VALUE!</v>
          </cell>
          <cell r="AG147" t="str">
            <v>Глубина 200 м.</v>
          </cell>
          <cell r="AH147">
            <v>0</v>
          </cell>
          <cell r="AI147">
            <v>0</v>
          </cell>
          <cell r="AJ14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47">
            <v>3175338</v>
          </cell>
          <cell r="AM147" t="str">
            <v>По сроку службы</v>
          </cell>
        </row>
        <row r="148">
          <cell r="A148">
            <v>203</v>
          </cell>
          <cell r="B148">
            <v>591</v>
          </cell>
          <cell r="C148" t="str">
            <v>Баз  для  скота (МТФ№5)</v>
          </cell>
          <cell r="D148">
            <v>29935</v>
          </cell>
          <cell r="E148">
            <v>29935</v>
          </cell>
          <cell r="F148">
            <v>513</v>
          </cell>
          <cell r="G148">
            <v>13.261762999999998</v>
          </cell>
          <cell r="H148">
            <v>6803.2844189999996</v>
          </cell>
          <cell r="I148">
            <v>34.065753424657537</v>
          </cell>
          <cell r="J148" t="str">
            <v>металл</v>
          </cell>
          <cell r="K148">
            <v>0</v>
          </cell>
          <cell r="L148">
            <v>35</v>
          </cell>
          <cell r="M148">
            <v>0.8</v>
          </cell>
          <cell r="N148">
            <v>0</v>
          </cell>
          <cell r="O148">
            <v>0</v>
          </cell>
          <cell r="P148">
            <v>0.8</v>
          </cell>
          <cell r="Q148">
            <v>0</v>
          </cell>
          <cell r="R148">
            <v>0</v>
          </cell>
          <cell r="S148">
            <v>0</v>
          </cell>
          <cell r="T148">
            <v>1361</v>
          </cell>
          <cell r="U148">
            <v>3.2404761904761905</v>
          </cell>
          <cell r="V148" t="e">
            <v>#DIV/0!</v>
          </cell>
          <cell r="W148">
            <v>0</v>
          </cell>
          <cell r="X148">
            <v>0</v>
          </cell>
          <cell r="Y148">
            <v>0</v>
          </cell>
          <cell r="Z148" t="str">
            <v/>
          </cell>
          <cell r="AA148" t="str">
            <v/>
          </cell>
          <cell r="AB148" t="e">
            <v>#VALUE!</v>
          </cell>
          <cell r="AC148">
            <v>0</v>
          </cell>
          <cell r="AD148" t="str">
            <v>Не рассчитывалась</v>
          </cell>
          <cell r="AE148" t="str">
            <v>Не рассчитывалась</v>
          </cell>
          <cell r="AF148" t="e">
            <v>#VALUE!</v>
          </cell>
          <cell r="AG148">
            <v>420</v>
          </cell>
          <cell r="AH148" t="str">
            <v>не будет использоваться</v>
          </cell>
          <cell r="AI148" t="str">
            <v>Уточнить состояние по фото</v>
          </cell>
          <cell r="AL148">
            <v>0</v>
          </cell>
          <cell r="AM148" t="str">
            <v>Не рассчитывалась</v>
          </cell>
        </row>
        <row r="149">
          <cell r="A149">
            <v>204</v>
          </cell>
          <cell r="B149">
            <v>2758</v>
          </cell>
          <cell r="C149" t="str">
            <v>Баз для скота    МТФ№4</v>
          </cell>
          <cell r="D149">
            <v>29570</v>
          </cell>
          <cell r="E149">
            <v>29570</v>
          </cell>
          <cell r="F149">
            <v>7962</v>
          </cell>
          <cell r="G149">
            <v>13.261762999999998</v>
          </cell>
          <cell r="H149">
            <v>105590.15700599999</v>
          </cell>
          <cell r="I149">
            <v>35.065753424657537</v>
          </cell>
          <cell r="J149" t="str">
            <v>металл</v>
          </cell>
          <cell r="K149">
            <v>0</v>
          </cell>
          <cell r="L149">
            <v>35</v>
          </cell>
          <cell r="M149">
            <v>0.8</v>
          </cell>
          <cell r="N149">
            <v>0</v>
          </cell>
          <cell r="O149">
            <v>0</v>
          </cell>
          <cell r="P149">
            <v>0.8</v>
          </cell>
          <cell r="Q149">
            <v>0</v>
          </cell>
          <cell r="R149">
            <v>0</v>
          </cell>
          <cell r="S149">
            <v>0</v>
          </cell>
          <cell r="T149">
            <v>21118</v>
          </cell>
          <cell r="U149">
            <v>65.993750000000006</v>
          </cell>
          <cell r="V149" t="e">
            <v>#DIV/0!</v>
          </cell>
          <cell r="W149">
            <v>0</v>
          </cell>
          <cell r="X149">
            <v>0</v>
          </cell>
          <cell r="Y149">
            <v>0</v>
          </cell>
          <cell r="Z149" t="str">
            <v/>
          </cell>
          <cell r="AA149" t="str">
            <v/>
          </cell>
          <cell r="AB149" t="e">
            <v>#VALUE!</v>
          </cell>
          <cell r="AC149">
            <v>0</v>
          </cell>
          <cell r="AD149" t="str">
            <v>Не рассчитывалась</v>
          </cell>
          <cell r="AE149" t="str">
            <v>Не рассчитывалась</v>
          </cell>
          <cell r="AF149" t="e">
            <v>#VALUE!</v>
          </cell>
          <cell r="AG149">
            <v>320</v>
          </cell>
          <cell r="AH149" t="str">
            <v>не будет использоваться</v>
          </cell>
          <cell r="AI149" t="str">
            <v>Уточнить состояние по фото</v>
          </cell>
          <cell r="AL149">
            <v>0</v>
          </cell>
          <cell r="AM149" t="str">
            <v>Не рассчитывалась</v>
          </cell>
        </row>
        <row r="150">
          <cell r="A150">
            <v>205</v>
          </cell>
          <cell r="B150">
            <v>507</v>
          </cell>
          <cell r="C150" t="str">
            <v>Башня Рожневского (128)  (СТФ)</v>
          </cell>
          <cell r="D150">
            <v>28839</v>
          </cell>
          <cell r="E150">
            <v>28839</v>
          </cell>
          <cell r="F150">
            <v>9000</v>
          </cell>
          <cell r="G150">
            <v>13.261762999999998</v>
          </cell>
          <cell r="H150">
            <v>119355.86699999998</v>
          </cell>
          <cell r="I150">
            <v>37.06849315068493</v>
          </cell>
          <cell r="J150" t="str">
            <v>Стальная</v>
          </cell>
          <cell r="K150">
            <v>0</v>
          </cell>
          <cell r="L150">
            <v>30</v>
          </cell>
          <cell r="M150">
            <v>0.8</v>
          </cell>
          <cell r="N150">
            <v>0</v>
          </cell>
          <cell r="O150">
            <v>0</v>
          </cell>
          <cell r="P150">
            <v>0.8</v>
          </cell>
          <cell r="Q150">
            <v>0</v>
          </cell>
          <cell r="R150" t="e">
            <v>#DIV/0!</v>
          </cell>
          <cell r="S150" t="str">
            <v>Не соответствует</v>
          </cell>
          <cell r="T150">
            <v>23871</v>
          </cell>
          <cell r="U150" t="e">
            <v>#DIV/0!</v>
          </cell>
          <cell r="V150" t="e">
            <v>#DIV/0!</v>
          </cell>
          <cell r="W150" t="str">
            <v>Соответствует</v>
          </cell>
          <cell r="X150">
            <v>0</v>
          </cell>
          <cell r="Y150">
            <v>0</v>
          </cell>
          <cell r="Z150" t="str">
            <v/>
          </cell>
          <cell r="AA150" t="str">
            <v/>
          </cell>
          <cell r="AB150" t="e">
            <v>#VALUE!</v>
          </cell>
          <cell r="AC150" t="str">
            <v>Не рассчитывалась</v>
          </cell>
          <cell r="AD150" t="str">
            <v>Не рассчитывалась</v>
          </cell>
          <cell r="AE150" t="str">
            <v>Не рассчитывалась</v>
          </cell>
          <cell r="AF150" t="e">
            <v>#VALUE!</v>
          </cell>
          <cell r="AG150">
            <v>0</v>
          </cell>
          <cell r="AH150" t="str">
            <v>будет использоваться</v>
          </cell>
          <cell r="AI150">
            <v>0</v>
          </cell>
          <cell r="AJ15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0">
            <v>23871</v>
          </cell>
          <cell r="AM150" t="str">
            <v>По сроку службы</v>
          </cell>
        </row>
        <row r="151">
          <cell r="A151">
            <v>206</v>
          </cell>
          <cell r="B151">
            <v>2711</v>
          </cell>
          <cell r="C151" t="str">
            <v xml:space="preserve">Башня Рожневского МТФ №4 </v>
          </cell>
          <cell r="D151">
            <v>32492</v>
          </cell>
          <cell r="E151">
            <v>32492</v>
          </cell>
          <cell r="F151">
            <v>9000</v>
          </cell>
          <cell r="G151">
            <v>13.261762999999998</v>
          </cell>
          <cell r="H151">
            <v>119355.86699999998</v>
          </cell>
          <cell r="I151">
            <v>27.06027397260274</v>
          </cell>
          <cell r="J151" t="str">
            <v>Стальная</v>
          </cell>
          <cell r="K151">
            <v>0</v>
          </cell>
          <cell r="L151">
            <v>30</v>
          </cell>
          <cell r="M151">
            <v>0.8</v>
          </cell>
          <cell r="N151">
            <v>0</v>
          </cell>
          <cell r="O151">
            <v>0</v>
          </cell>
          <cell r="P151">
            <v>0.8</v>
          </cell>
          <cell r="Q151">
            <v>0</v>
          </cell>
          <cell r="R151" t="e">
            <v>#DIV/0!</v>
          </cell>
          <cell r="S151" t="str">
            <v>Не соответствует</v>
          </cell>
          <cell r="T151">
            <v>23871</v>
          </cell>
          <cell r="U151" t="e">
            <v>#DIV/0!</v>
          </cell>
          <cell r="V151" t="e">
            <v>#DIV/0!</v>
          </cell>
          <cell r="W151" t="str">
            <v>Соответствует</v>
          </cell>
          <cell r="X151">
            <v>0</v>
          </cell>
          <cell r="Y151">
            <v>0</v>
          </cell>
          <cell r="Z151" t="str">
            <v/>
          </cell>
          <cell r="AA151" t="str">
            <v/>
          </cell>
          <cell r="AB151" t="e">
            <v>#VALUE!</v>
          </cell>
          <cell r="AC151" t="str">
            <v>Не рассчитывалась</v>
          </cell>
          <cell r="AD151" t="str">
            <v>Не рассчитывалась</v>
          </cell>
          <cell r="AE151" t="str">
            <v>Не рассчитывалась</v>
          </cell>
          <cell r="AF151" t="e">
            <v>#VALUE!</v>
          </cell>
          <cell r="AG151">
            <v>0</v>
          </cell>
          <cell r="AH151" t="str">
            <v>будет использоваться</v>
          </cell>
          <cell r="AI151">
            <v>0</v>
          </cell>
          <cell r="AJ151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1">
            <v>23871</v>
          </cell>
          <cell r="AM151" t="str">
            <v>По сроку службы</v>
          </cell>
        </row>
        <row r="152">
          <cell r="A152">
            <v>207</v>
          </cell>
          <cell r="B152">
            <v>504</v>
          </cell>
          <cell r="C152" t="str">
            <v>Башня Рожневского-БР 5(225)</v>
          </cell>
          <cell r="D152">
            <v>29570</v>
          </cell>
          <cell r="E152">
            <v>29570</v>
          </cell>
          <cell r="F152">
            <v>9000</v>
          </cell>
          <cell r="G152">
            <v>13.261762999999998</v>
          </cell>
          <cell r="H152">
            <v>119355.86699999998</v>
          </cell>
          <cell r="I152">
            <v>35.065753424657537</v>
          </cell>
          <cell r="J152" t="str">
            <v>Стальная</v>
          </cell>
          <cell r="K152">
            <v>0</v>
          </cell>
          <cell r="L152">
            <v>30</v>
          </cell>
          <cell r="M152">
            <v>0.8</v>
          </cell>
          <cell r="N152">
            <v>0</v>
          </cell>
          <cell r="O152">
            <v>0</v>
          </cell>
          <cell r="P152">
            <v>0.8</v>
          </cell>
          <cell r="Q152">
            <v>0</v>
          </cell>
          <cell r="R152" t="e">
            <v>#DIV/0!</v>
          </cell>
          <cell r="S152" t="str">
            <v>Не соответствует</v>
          </cell>
          <cell r="T152">
            <v>23871</v>
          </cell>
          <cell r="U152" t="e">
            <v>#DIV/0!</v>
          </cell>
          <cell r="V152" t="e">
            <v>#DIV/0!</v>
          </cell>
          <cell r="W152" t="str">
            <v>Соответствует</v>
          </cell>
          <cell r="X152">
            <v>0</v>
          </cell>
          <cell r="Y152">
            <v>0</v>
          </cell>
          <cell r="Z152" t="str">
            <v/>
          </cell>
          <cell r="AA152" t="str">
            <v/>
          </cell>
          <cell r="AB152" t="e">
            <v>#VALUE!</v>
          </cell>
          <cell r="AC152" t="str">
            <v>Не рассчитывалась</v>
          </cell>
          <cell r="AD152" t="str">
            <v>Не рассчитывалась</v>
          </cell>
          <cell r="AE152" t="str">
            <v>Не рассчитывалась</v>
          </cell>
          <cell r="AF152" t="e">
            <v>#VALUE!</v>
          </cell>
          <cell r="AG152">
            <v>0</v>
          </cell>
          <cell r="AH152" t="str">
            <v>будет использоваться</v>
          </cell>
          <cell r="AI152">
            <v>0</v>
          </cell>
          <cell r="AJ152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2">
            <v>23871</v>
          </cell>
          <cell r="AM152" t="str">
            <v>По сроку службы</v>
          </cell>
        </row>
        <row r="153">
          <cell r="A153">
            <v>208</v>
          </cell>
          <cell r="B153">
            <v>502</v>
          </cell>
          <cell r="C153" t="str">
            <v>Башня Рожневского(405)  (ПТФ)</v>
          </cell>
          <cell r="D153">
            <v>33969</v>
          </cell>
          <cell r="E153">
            <v>33969</v>
          </cell>
          <cell r="F153">
            <v>9000</v>
          </cell>
          <cell r="G153">
            <v>13.261762999999998</v>
          </cell>
          <cell r="H153">
            <v>119355.86699999998</v>
          </cell>
          <cell r="I153">
            <v>23.013698630136986</v>
          </cell>
          <cell r="J153" t="str">
            <v>Стальная</v>
          </cell>
          <cell r="K153">
            <v>0</v>
          </cell>
          <cell r="L153">
            <v>30</v>
          </cell>
          <cell r="M153">
            <v>0.76712328767123283</v>
          </cell>
          <cell r="N153">
            <v>0</v>
          </cell>
          <cell r="O153">
            <v>0</v>
          </cell>
          <cell r="P153">
            <v>0.76712328767123283</v>
          </cell>
          <cell r="Q153">
            <v>0</v>
          </cell>
          <cell r="R153" t="e">
            <v>#DIV/0!</v>
          </cell>
          <cell r="S153">
            <v>0</v>
          </cell>
          <cell r="T153">
            <v>27795</v>
          </cell>
          <cell r="U153" t="e">
            <v>#DIV/0!</v>
          </cell>
          <cell r="V153" t="e">
            <v>#DIV/0!</v>
          </cell>
          <cell r="W153">
            <v>0</v>
          </cell>
          <cell r="X153">
            <v>0</v>
          </cell>
          <cell r="Y153">
            <v>0</v>
          </cell>
          <cell r="Z153" t="str">
            <v/>
          </cell>
          <cell r="AA153" t="str">
            <v/>
          </cell>
          <cell r="AB153" t="e">
            <v>#VALUE!</v>
          </cell>
          <cell r="AC153">
            <v>0</v>
          </cell>
          <cell r="AD153" t="str">
            <v>Не рассчитывалась</v>
          </cell>
          <cell r="AE153" t="str">
            <v>Не рассчитывалась</v>
          </cell>
          <cell r="AF153" t="e">
            <v>#VALUE!</v>
          </cell>
          <cell r="AG153">
            <v>0</v>
          </cell>
          <cell r="AH153" t="str">
            <v>не будет использоваться</v>
          </cell>
          <cell r="AI153">
            <v>0</v>
          </cell>
          <cell r="AL153">
            <v>0</v>
          </cell>
          <cell r="AM153" t="str">
            <v>Не рассчитывалась</v>
          </cell>
        </row>
        <row r="154">
          <cell r="A154">
            <v>209</v>
          </cell>
          <cell r="B154" t="str">
            <v>Р00008458</v>
          </cell>
          <cell r="C154" t="str">
            <v>Благоустройство  бр№5 общ.пл. 810 кв.м. Литер :VI  Кад.№ 23:11:0702000:771</v>
          </cell>
          <cell r="D154">
            <v>40599</v>
          </cell>
          <cell r="E154">
            <v>40599</v>
          </cell>
          <cell r="F154">
            <v>521000</v>
          </cell>
          <cell r="G154">
            <v>1.4002276176024278</v>
          </cell>
          <cell r="H154">
            <v>729518.58877086488</v>
          </cell>
          <cell r="I154">
            <v>4.8493150684931505</v>
          </cell>
          <cell r="J154" t="str">
            <v>бетонное</v>
          </cell>
          <cell r="K154">
            <v>0</v>
          </cell>
          <cell r="L154">
            <v>20</v>
          </cell>
          <cell r="M154">
            <v>0.24246575342465754</v>
          </cell>
          <cell r="N154">
            <v>0</v>
          </cell>
          <cell r="O154">
            <v>0</v>
          </cell>
          <cell r="P154">
            <v>0.24246575342465748</v>
          </cell>
          <cell r="Q154">
            <v>354049.9</v>
          </cell>
          <cell r="R154">
            <v>437.09864197530868</v>
          </cell>
          <cell r="S154" t="str">
            <v>Не соответствует</v>
          </cell>
          <cell r="T154">
            <v>552635</v>
          </cell>
          <cell r="U154">
            <v>682.26543209876547</v>
          </cell>
          <cell r="V154">
            <v>1.5608957946323385</v>
          </cell>
          <cell r="W154" t="str">
            <v>Соответствует</v>
          </cell>
          <cell r="X154">
            <v>0</v>
          </cell>
          <cell r="Y154">
            <v>0</v>
          </cell>
          <cell r="Z154" t="str">
            <v/>
          </cell>
          <cell r="AA154" t="str">
            <v/>
          </cell>
          <cell r="AB154" t="e">
            <v>#VALUE!</v>
          </cell>
          <cell r="AC154" t="str">
            <v>Не рассчитывалась</v>
          </cell>
          <cell r="AD154">
            <v>951997</v>
          </cell>
          <cell r="AE154">
            <v>1175.3049382716049</v>
          </cell>
          <cell r="AF154">
            <v>2.6888780366835294</v>
          </cell>
          <cell r="AG154">
            <v>810</v>
          </cell>
          <cell r="AH154">
            <v>0</v>
          </cell>
          <cell r="AI154">
            <v>0</v>
          </cell>
          <cell r="AJ15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54">
            <v>552635</v>
          </cell>
          <cell r="AM154" t="str">
            <v>По сроку службы</v>
          </cell>
        </row>
        <row r="155">
          <cell r="A155">
            <v>211</v>
          </cell>
          <cell r="B155">
            <v>610</v>
          </cell>
          <cell r="C155" t="str">
            <v>Благоустройство (автопарк)</v>
          </cell>
          <cell r="D155">
            <v>33587</v>
          </cell>
          <cell r="E155">
            <v>33587</v>
          </cell>
          <cell r="F155">
            <v>273130</v>
          </cell>
          <cell r="G155">
            <v>13.261762999999998</v>
          </cell>
          <cell r="H155">
            <v>3622185.3281899998</v>
          </cell>
          <cell r="I155">
            <v>24.06027397260274</v>
          </cell>
          <cell r="J155" t="str">
            <v>асфальтобетон</v>
          </cell>
          <cell r="K155">
            <v>0</v>
          </cell>
          <cell r="L155">
            <v>20</v>
          </cell>
          <cell r="M155">
            <v>0.8</v>
          </cell>
          <cell r="N155">
            <v>0</v>
          </cell>
          <cell r="O155">
            <v>0</v>
          </cell>
          <cell r="P155">
            <v>0.8</v>
          </cell>
          <cell r="Q155">
            <v>0</v>
          </cell>
          <cell r="R155">
            <v>0</v>
          </cell>
          <cell r="S155">
            <v>0</v>
          </cell>
          <cell r="T155">
            <v>724437</v>
          </cell>
          <cell r="U155">
            <v>813.97415730337082</v>
          </cell>
          <cell r="V155" t="e">
            <v>#DIV/0!</v>
          </cell>
          <cell r="W155">
            <v>0</v>
          </cell>
          <cell r="X155">
            <v>0</v>
          </cell>
          <cell r="Y155">
            <v>0</v>
          </cell>
          <cell r="Z155" t="str">
            <v/>
          </cell>
          <cell r="AA155" t="str">
            <v/>
          </cell>
          <cell r="AB155" t="e">
            <v>#VALUE!</v>
          </cell>
          <cell r="AC155">
            <v>0</v>
          </cell>
          <cell r="AD155" t="str">
            <v>Не рассчитывалась</v>
          </cell>
          <cell r="AE155" t="str">
            <v>Не рассчитывалась</v>
          </cell>
          <cell r="AF155" t="e">
            <v>#VALUE!</v>
          </cell>
          <cell r="AG155">
            <v>890</v>
          </cell>
          <cell r="AH155" t="str">
            <v>не будет использоваться</v>
          </cell>
          <cell r="AI155">
            <v>0</v>
          </cell>
          <cell r="AL155">
            <v>0</v>
          </cell>
          <cell r="AM155" t="str">
            <v>Не рассчитывалась</v>
          </cell>
        </row>
        <row r="156">
          <cell r="A156">
            <v>212</v>
          </cell>
          <cell r="B156">
            <v>613</v>
          </cell>
          <cell r="C156" t="str">
            <v>Благоустройство (Бойня)</v>
          </cell>
          <cell r="D156">
            <v>33953</v>
          </cell>
          <cell r="E156">
            <v>33953</v>
          </cell>
          <cell r="F156">
            <v>4379</v>
          </cell>
          <cell r="G156">
            <v>13.261762999999998</v>
          </cell>
          <cell r="H156">
            <v>58073.260176999996</v>
          </cell>
          <cell r="I156">
            <v>23.057534246575344</v>
          </cell>
          <cell r="J156" t="str">
            <v>асфальтобетон</v>
          </cell>
          <cell r="K156">
            <v>0</v>
          </cell>
          <cell r="L156">
            <v>20</v>
          </cell>
          <cell r="M156">
            <v>0.8</v>
          </cell>
          <cell r="N156">
            <v>0</v>
          </cell>
          <cell r="O156">
            <v>0</v>
          </cell>
          <cell r="P156">
            <v>0.8</v>
          </cell>
          <cell r="Q156">
            <v>0</v>
          </cell>
          <cell r="R156">
            <v>0</v>
          </cell>
          <cell r="S156">
            <v>0</v>
          </cell>
          <cell r="T156">
            <v>11615</v>
          </cell>
          <cell r="U156">
            <v>92.92</v>
          </cell>
          <cell r="V156" t="e">
            <v>#DIV/0!</v>
          </cell>
          <cell r="W156">
            <v>0</v>
          </cell>
          <cell r="X156">
            <v>0</v>
          </cell>
          <cell r="Y156">
            <v>0</v>
          </cell>
          <cell r="Z156" t="str">
            <v/>
          </cell>
          <cell r="AA156" t="str">
            <v/>
          </cell>
          <cell r="AB156" t="e">
            <v>#VALUE!</v>
          </cell>
          <cell r="AC156">
            <v>0</v>
          </cell>
          <cell r="AD156" t="str">
            <v>Не рассчитывалась</v>
          </cell>
          <cell r="AE156" t="str">
            <v>Не рассчитывалась</v>
          </cell>
          <cell r="AF156" t="e">
            <v>#VALUE!</v>
          </cell>
          <cell r="AG156">
            <v>125</v>
          </cell>
          <cell r="AH156" t="str">
            <v>не будет использоваться</v>
          </cell>
          <cell r="AI156">
            <v>0</v>
          </cell>
          <cell r="AL156">
            <v>0</v>
          </cell>
          <cell r="AM156" t="str">
            <v>Не рассчитывалась</v>
          </cell>
        </row>
        <row r="157">
          <cell r="A157">
            <v>213</v>
          </cell>
          <cell r="B157">
            <v>611</v>
          </cell>
          <cell r="C157" t="str">
            <v>Благоустройство (бр №2)</v>
          </cell>
          <cell r="D157">
            <v>33587</v>
          </cell>
          <cell r="E157">
            <v>33587</v>
          </cell>
          <cell r="F157">
            <v>297700</v>
          </cell>
          <cell r="G157">
            <v>13.261762999999998</v>
          </cell>
          <cell r="H157">
            <v>3948026.8450999996</v>
          </cell>
          <cell r="I157">
            <v>24.06027397260274</v>
          </cell>
          <cell r="J157" t="str">
            <v>асфальтобетон</v>
          </cell>
          <cell r="K157">
            <v>0</v>
          </cell>
          <cell r="L157">
            <v>20</v>
          </cell>
          <cell r="M157">
            <v>0.8</v>
          </cell>
          <cell r="N157">
            <v>0</v>
          </cell>
          <cell r="O157">
            <v>0</v>
          </cell>
          <cell r="P157">
            <v>0.8</v>
          </cell>
          <cell r="Q157">
            <v>0</v>
          </cell>
          <cell r="R157">
            <v>0</v>
          </cell>
          <cell r="S157">
            <v>0</v>
          </cell>
          <cell r="T157">
            <v>789605</v>
          </cell>
          <cell r="U157">
            <v>9400.0595238095229</v>
          </cell>
          <cell r="V157" t="e">
            <v>#DIV/0!</v>
          </cell>
          <cell r="W157">
            <v>0</v>
          </cell>
          <cell r="X157">
            <v>0</v>
          </cell>
          <cell r="Y157">
            <v>0</v>
          </cell>
          <cell r="Z157" t="str">
            <v/>
          </cell>
          <cell r="AA157" t="str">
            <v/>
          </cell>
          <cell r="AB157" t="e">
            <v>#VALUE!</v>
          </cell>
          <cell r="AC157">
            <v>0</v>
          </cell>
          <cell r="AD157" t="str">
            <v>Не рассчитывалась</v>
          </cell>
          <cell r="AE157" t="str">
            <v>Не рассчитывалась</v>
          </cell>
          <cell r="AF157" t="e">
            <v>#VALUE!</v>
          </cell>
          <cell r="AG157">
            <v>84</v>
          </cell>
          <cell r="AH157" t="str">
            <v>не будет использоваться</v>
          </cell>
          <cell r="AI157" t="str">
            <v>Возможно ошибка в площади. Уточнить состояние.</v>
          </cell>
          <cell r="AL157">
            <v>0</v>
          </cell>
          <cell r="AM157" t="str">
            <v>Не рассчитывалась</v>
          </cell>
        </row>
        <row r="158">
          <cell r="A158">
            <v>214</v>
          </cell>
          <cell r="B158">
            <v>607</v>
          </cell>
          <cell r="C158" t="str">
            <v>Благоустройство (МТФ№4)</v>
          </cell>
          <cell r="D158">
            <v>31396</v>
          </cell>
          <cell r="E158">
            <v>31396</v>
          </cell>
          <cell r="F158">
            <v>147473.85</v>
          </cell>
          <cell r="G158">
            <v>13.261762999999998</v>
          </cell>
          <cell r="H158">
            <v>1955763.2473975499</v>
          </cell>
          <cell r="I158">
            <v>30.063013698630137</v>
          </cell>
          <cell r="J158" t="str">
            <v>асфальтобетон</v>
          </cell>
          <cell r="K158">
            <v>0</v>
          </cell>
          <cell r="L158">
            <v>20</v>
          </cell>
          <cell r="M158">
            <v>0.8</v>
          </cell>
          <cell r="N158">
            <v>0</v>
          </cell>
          <cell r="O158">
            <v>0</v>
          </cell>
          <cell r="P158">
            <v>0.8</v>
          </cell>
          <cell r="Q158">
            <v>70047.850000000006</v>
          </cell>
          <cell r="R158">
            <v>164.8184705882353</v>
          </cell>
          <cell r="S158">
            <v>0</v>
          </cell>
          <cell r="T158">
            <v>391153</v>
          </cell>
          <cell r="U158">
            <v>920.36</v>
          </cell>
          <cell r="V158">
            <v>5.5840828804881228</v>
          </cell>
          <cell r="W158">
            <v>0</v>
          </cell>
          <cell r="X158">
            <v>0</v>
          </cell>
          <cell r="Y158">
            <v>0</v>
          </cell>
          <cell r="Z158" t="str">
            <v/>
          </cell>
          <cell r="AA158" t="str">
            <v/>
          </cell>
          <cell r="AB158" t="e">
            <v>#VALUE!</v>
          </cell>
          <cell r="AC158">
            <v>0</v>
          </cell>
          <cell r="AD158" t="str">
            <v>Не рассчитывалась</v>
          </cell>
          <cell r="AE158" t="str">
            <v>Не рассчитывалась</v>
          </cell>
          <cell r="AF158" t="e">
            <v>#VALUE!</v>
          </cell>
          <cell r="AG158">
            <v>425</v>
          </cell>
          <cell r="AH158" t="str">
            <v>не будет использоваться</v>
          </cell>
          <cell r="AI158">
            <v>0</v>
          </cell>
          <cell r="AL158">
            <v>0</v>
          </cell>
          <cell r="AM158" t="str">
            <v>Не рассчитывалась</v>
          </cell>
        </row>
        <row r="159">
          <cell r="A159">
            <v>215</v>
          </cell>
          <cell r="B159">
            <v>609</v>
          </cell>
          <cell r="C159" t="str">
            <v>Благоустройство (стройбригада)</v>
          </cell>
          <cell r="D159">
            <v>33587</v>
          </cell>
          <cell r="E159">
            <v>33587</v>
          </cell>
          <cell r="F159">
            <v>44610</v>
          </cell>
          <cell r="G159">
            <v>13.261762999999998</v>
          </cell>
          <cell r="H159">
            <v>591607.24742999987</v>
          </cell>
          <cell r="I159">
            <v>24.06027397260274</v>
          </cell>
          <cell r="J159" t="str">
            <v>асфальтобетон</v>
          </cell>
          <cell r="K159">
            <v>0</v>
          </cell>
          <cell r="L159">
            <v>20</v>
          </cell>
          <cell r="M159">
            <v>0.8</v>
          </cell>
          <cell r="N159">
            <v>0</v>
          </cell>
          <cell r="O159">
            <v>0</v>
          </cell>
          <cell r="P159">
            <v>0.8</v>
          </cell>
          <cell r="Q159">
            <v>9254.8399999999965</v>
          </cell>
          <cell r="R159">
            <v>43.045767441860448</v>
          </cell>
          <cell r="S159">
            <v>0</v>
          </cell>
          <cell r="T159">
            <v>118321</v>
          </cell>
          <cell r="U159">
            <v>550.33023255813953</v>
          </cell>
          <cell r="V159">
            <v>12.784769914985029</v>
          </cell>
          <cell r="W159">
            <v>0</v>
          </cell>
          <cell r="X159">
            <v>0</v>
          </cell>
          <cell r="Y159">
            <v>0</v>
          </cell>
          <cell r="Z159" t="str">
            <v/>
          </cell>
          <cell r="AA159" t="str">
            <v/>
          </cell>
          <cell r="AB159" t="e">
            <v>#VALUE!</v>
          </cell>
          <cell r="AC159">
            <v>0</v>
          </cell>
          <cell r="AD159" t="str">
            <v>Не рассчитывалась</v>
          </cell>
          <cell r="AE159" t="str">
            <v>Не рассчитывалась</v>
          </cell>
          <cell r="AF159" t="e">
            <v>#VALUE!</v>
          </cell>
          <cell r="AG159">
            <v>215</v>
          </cell>
          <cell r="AH159" t="str">
            <v>не будет использоваться</v>
          </cell>
          <cell r="AI159">
            <v>0</v>
          </cell>
          <cell r="AL159">
            <v>0</v>
          </cell>
          <cell r="AM159" t="str">
            <v>Не рассчитывалась</v>
          </cell>
        </row>
        <row r="160">
          <cell r="A160">
            <v>216</v>
          </cell>
          <cell r="B160">
            <v>608</v>
          </cell>
          <cell r="C160" t="str">
            <v>Благоустройство (СТФ)</v>
          </cell>
          <cell r="D160">
            <v>29935</v>
          </cell>
          <cell r="E160">
            <v>29935</v>
          </cell>
          <cell r="F160">
            <v>320531</v>
          </cell>
          <cell r="G160">
            <v>13.261762999999998</v>
          </cell>
          <cell r="H160">
            <v>4250806.156152999</v>
          </cell>
          <cell r="I160">
            <v>34.065753424657537</v>
          </cell>
          <cell r="J160" t="str">
            <v>асфальтобетон</v>
          </cell>
          <cell r="K160">
            <v>0</v>
          </cell>
          <cell r="L160">
            <v>20</v>
          </cell>
          <cell r="M160">
            <v>0.8</v>
          </cell>
          <cell r="N160">
            <v>0</v>
          </cell>
          <cell r="O160">
            <v>0</v>
          </cell>
          <cell r="P160">
            <v>0.8</v>
          </cell>
          <cell r="Q160">
            <v>43538.650000000023</v>
          </cell>
          <cell r="R160">
            <v>50.626337209302349</v>
          </cell>
          <cell r="S160">
            <v>0</v>
          </cell>
          <cell r="T160">
            <v>850161</v>
          </cell>
          <cell r="U160">
            <v>988.55930232558137</v>
          </cell>
          <cell r="V160">
            <v>19.526581554549796</v>
          </cell>
          <cell r="W160">
            <v>0</v>
          </cell>
          <cell r="X160">
            <v>0</v>
          </cell>
          <cell r="Y160">
            <v>0</v>
          </cell>
          <cell r="Z160" t="str">
            <v/>
          </cell>
          <cell r="AA160" t="str">
            <v/>
          </cell>
          <cell r="AB160" t="e">
            <v>#VALUE!</v>
          </cell>
          <cell r="AC160">
            <v>0</v>
          </cell>
          <cell r="AD160" t="str">
            <v>Не рассчитывалась</v>
          </cell>
          <cell r="AE160" t="str">
            <v>Не рассчитывалась</v>
          </cell>
          <cell r="AF160" t="e">
            <v>#VALUE!</v>
          </cell>
          <cell r="AG160">
            <v>860</v>
          </cell>
          <cell r="AH160" t="str">
            <v>не будет использоваться</v>
          </cell>
          <cell r="AI160">
            <v>0</v>
          </cell>
          <cell r="AL160">
            <v>0</v>
          </cell>
          <cell r="AM160" t="str">
            <v>Не рассчитывалась</v>
          </cell>
        </row>
        <row r="161">
          <cell r="A161">
            <v>217</v>
          </cell>
          <cell r="B161">
            <v>612</v>
          </cell>
          <cell r="C161" t="str">
            <v>Благоустройство (центральный склад)</v>
          </cell>
          <cell r="D161">
            <v>33953</v>
          </cell>
          <cell r="E161">
            <v>33953</v>
          </cell>
          <cell r="F161">
            <v>20021</v>
          </cell>
          <cell r="G161">
            <v>13.261762999999998</v>
          </cell>
          <cell r="H161">
            <v>265513.75702299998</v>
          </cell>
          <cell r="I161">
            <v>23.057534246575344</v>
          </cell>
          <cell r="J161" t="str">
            <v>асфальтобетон</v>
          </cell>
          <cell r="K161">
            <v>0</v>
          </cell>
          <cell r="L161">
            <v>20</v>
          </cell>
          <cell r="M161">
            <v>0.8</v>
          </cell>
          <cell r="N161">
            <v>0</v>
          </cell>
          <cell r="O161">
            <v>0</v>
          </cell>
          <cell r="P161">
            <v>0.8</v>
          </cell>
          <cell r="Q161">
            <v>4204.5599999999995</v>
          </cell>
          <cell r="R161">
            <v>8.0701727447216882</v>
          </cell>
          <cell r="S161">
            <v>0</v>
          </cell>
          <cell r="T161">
            <v>53103</v>
          </cell>
          <cell r="U161">
            <v>101.92514395393474</v>
          </cell>
          <cell r="V161">
            <v>12.62985901021748</v>
          </cell>
          <cell r="W161">
            <v>0</v>
          </cell>
          <cell r="X161">
            <v>0</v>
          </cell>
          <cell r="Y161">
            <v>0</v>
          </cell>
          <cell r="Z161" t="str">
            <v/>
          </cell>
          <cell r="AA161" t="str">
            <v/>
          </cell>
          <cell r="AB161" t="e">
            <v>#VALUE!</v>
          </cell>
          <cell r="AC161">
            <v>0</v>
          </cell>
          <cell r="AD161" t="str">
            <v>Не рассчитывалась</v>
          </cell>
          <cell r="AE161" t="str">
            <v>Не рассчитывалась</v>
          </cell>
          <cell r="AF161" t="e">
            <v>#VALUE!</v>
          </cell>
          <cell r="AG161">
            <v>521</v>
          </cell>
          <cell r="AH161" t="str">
            <v>не будет использоваться</v>
          </cell>
          <cell r="AI161">
            <v>0</v>
          </cell>
          <cell r="AL161">
            <v>0</v>
          </cell>
          <cell r="AM161" t="str">
            <v>Не рассчитывалась</v>
          </cell>
        </row>
        <row r="162">
          <cell r="A162">
            <v>219</v>
          </cell>
          <cell r="B162" t="str">
            <v>Р00008457</v>
          </cell>
          <cell r="C162" t="str">
            <v>Благоустройство МТФ№5 Литер:I Об.пл. 810 кв.м. Кад№  23:11:0702000:774</v>
          </cell>
          <cell r="D162">
            <v>40599</v>
          </cell>
          <cell r="E162">
            <v>40599</v>
          </cell>
          <cell r="F162">
            <v>1500871</v>
          </cell>
          <cell r="G162">
            <v>1.4002276176024278</v>
          </cell>
          <cell r="H162">
            <v>2101561.0246585733</v>
          </cell>
          <cell r="I162">
            <v>4.8493150684931505</v>
          </cell>
          <cell r="J162" t="str">
            <v>асфальт</v>
          </cell>
          <cell r="K162">
            <v>0</v>
          </cell>
          <cell r="L162">
            <v>20</v>
          </cell>
          <cell r="M162">
            <v>0.24246575342465754</v>
          </cell>
          <cell r="N162">
            <v>0</v>
          </cell>
          <cell r="O162">
            <v>0</v>
          </cell>
          <cell r="P162">
            <v>0.24246575342465748</v>
          </cell>
          <cell r="Q162">
            <v>1019929.2</v>
          </cell>
          <cell r="R162">
            <v>1259.1718518518519</v>
          </cell>
          <cell r="S162" t="str">
            <v>Не соответствует</v>
          </cell>
          <cell r="T162">
            <v>1592004</v>
          </cell>
          <cell r="U162">
            <v>1965.437037037037</v>
          </cell>
          <cell r="V162">
            <v>1.5608965798802505</v>
          </cell>
          <cell r="W162" t="str">
            <v>Соответствует</v>
          </cell>
          <cell r="X162">
            <v>0</v>
          </cell>
          <cell r="Y162">
            <v>0</v>
          </cell>
          <cell r="Z162" t="str">
            <v/>
          </cell>
          <cell r="AA162" t="str">
            <v/>
          </cell>
          <cell r="AB162" t="e">
            <v>#VALUE!</v>
          </cell>
          <cell r="AC162" t="str">
            <v>Не рассчитывалась</v>
          </cell>
          <cell r="AD162">
            <v>568846</v>
          </cell>
          <cell r="AE162">
            <v>702.27901234567901</v>
          </cell>
          <cell r="AF162">
            <v>0.5577308699466591</v>
          </cell>
          <cell r="AG162">
            <v>810</v>
          </cell>
          <cell r="AH162">
            <v>0</v>
          </cell>
          <cell r="AI162">
            <v>0</v>
          </cell>
          <cell r="AJ16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2">
            <v>1592004</v>
          </cell>
          <cell r="AM162" t="str">
            <v>По сроку службы</v>
          </cell>
        </row>
        <row r="163">
          <cell r="A163">
            <v>221</v>
          </cell>
          <cell r="B163">
            <v>416</v>
          </cell>
          <cell r="C163" t="str">
            <v>Бойня для скота   143 СТФ</v>
          </cell>
          <cell r="D163">
            <v>27013</v>
          </cell>
          <cell r="E163">
            <v>27013</v>
          </cell>
          <cell r="F163">
            <v>103090</v>
          </cell>
          <cell r="G163">
            <v>13.261762999999998</v>
          </cell>
          <cell r="H163">
            <v>1367155.1476699999</v>
          </cell>
          <cell r="I163">
            <v>42.07123287671233</v>
          </cell>
          <cell r="J163" t="str">
            <v>Бетон</v>
          </cell>
          <cell r="K163">
            <v>0</v>
          </cell>
          <cell r="L163">
            <v>50</v>
          </cell>
          <cell r="M163">
            <v>0.8</v>
          </cell>
          <cell r="N163">
            <v>0</v>
          </cell>
          <cell r="O163">
            <v>0</v>
          </cell>
          <cell r="P163">
            <v>0.8</v>
          </cell>
          <cell r="Q163">
            <v>64431.360000000001</v>
          </cell>
          <cell r="R163">
            <v>255.68</v>
          </cell>
          <cell r="S163" t="str">
            <v>Не соответствует</v>
          </cell>
          <cell r="T163">
            <v>273431</v>
          </cell>
          <cell r="U163">
            <v>1085.0436507936508</v>
          </cell>
          <cell r="V163">
            <v>4.2437564564833021</v>
          </cell>
          <cell r="W163" t="str">
            <v>Соответствует</v>
          </cell>
          <cell r="X163">
            <v>0</v>
          </cell>
          <cell r="Y163">
            <v>0</v>
          </cell>
          <cell r="Z163" t="str">
            <v/>
          </cell>
          <cell r="AA163" t="str">
            <v/>
          </cell>
          <cell r="AB163" t="e">
            <v>#VALUE!</v>
          </cell>
          <cell r="AC163" t="str">
            <v>Не рассчитывалась</v>
          </cell>
          <cell r="AD163" t="str">
            <v>Не рассчитывалась</v>
          </cell>
          <cell r="AE163" t="str">
            <v>Не рассчитывалась</v>
          </cell>
          <cell r="AF163" t="e">
            <v>#VALUE!</v>
          </cell>
          <cell r="AG163">
            <v>252</v>
          </cell>
          <cell r="AH163" t="str">
            <v>будет использоваться</v>
          </cell>
          <cell r="AI163">
            <v>0</v>
          </cell>
          <cell r="AJ163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63">
            <v>273431</v>
          </cell>
          <cell r="AM163" t="str">
            <v>По сроку службы</v>
          </cell>
        </row>
        <row r="164">
          <cell r="A164">
            <v>222</v>
          </cell>
          <cell r="B164" t="str">
            <v>Р00009093</v>
          </cell>
          <cell r="C164" t="str">
            <v>Внутриплощадочные дороги в бр№5  (благоустройство у коровников №8,9)</v>
          </cell>
          <cell r="D164">
            <v>40908</v>
          </cell>
          <cell r="E164">
            <v>40908</v>
          </cell>
          <cell r="F164">
            <v>1381355.93</v>
          </cell>
          <cell r="G164">
            <v>1.4002276176024278</v>
          </cell>
          <cell r="H164">
            <v>1934212.7229248858</v>
          </cell>
          <cell r="I164">
            <v>4.0027397260273974</v>
          </cell>
          <cell r="J164" t="str">
            <v>асфальтобетон</v>
          </cell>
          <cell r="K164">
            <v>0</v>
          </cell>
          <cell r="L164">
            <v>17</v>
          </cell>
          <cell r="M164">
            <v>0.23545527800161162</v>
          </cell>
          <cell r="N164">
            <v>0</v>
          </cell>
          <cell r="O164">
            <v>0</v>
          </cell>
          <cell r="P164">
            <v>0.23545527800161159</v>
          </cell>
          <cell r="Q164">
            <v>1015029.5299999999</v>
          </cell>
          <cell r="R164">
            <v>1637.1444032258064</v>
          </cell>
          <cell r="S164" t="str">
            <v>Не соответствует</v>
          </cell>
          <cell r="T164">
            <v>1478792</v>
          </cell>
          <cell r="U164">
            <v>2385.1483870967741</v>
          </cell>
          <cell r="V164">
            <v>1.4568955447040048</v>
          </cell>
          <cell r="W164" t="str">
            <v>Соответствует</v>
          </cell>
          <cell r="X164">
            <v>0</v>
          </cell>
          <cell r="Y164">
            <v>0</v>
          </cell>
          <cell r="Z164" t="str">
            <v/>
          </cell>
          <cell r="AA164" t="str">
            <v/>
          </cell>
          <cell r="AB164" t="e">
            <v>#VALUE!</v>
          </cell>
          <cell r="AC164" t="str">
            <v>Не рассчитывалась</v>
          </cell>
          <cell r="AD164" t="str">
            <v>Не рассчитывалась</v>
          </cell>
          <cell r="AE164" t="str">
            <v>Не рассчитывалась</v>
          </cell>
          <cell r="AF164" t="e">
            <v>#VALUE!</v>
          </cell>
          <cell r="AG164">
            <v>620</v>
          </cell>
          <cell r="AH164">
            <v>0</v>
          </cell>
          <cell r="AI164">
            <v>0</v>
          </cell>
          <cell r="AJ16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4">
            <v>1478792</v>
          </cell>
          <cell r="AM164" t="str">
            <v>По сроку службы</v>
          </cell>
        </row>
        <row r="165">
          <cell r="A165">
            <v>224</v>
          </cell>
          <cell r="B165">
            <v>632</v>
          </cell>
          <cell r="C165" t="str">
            <v>Водопровод   479 (ПТФ)</v>
          </cell>
          <cell r="D165">
            <v>28474</v>
          </cell>
          <cell r="E165">
            <v>28474</v>
          </cell>
          <cell r="F165">
            <v>64790</v>
          </cell>
          <cell r="G165">
            <v>13.261762999999998</v>
          </cell>
          <cell r="H165">
            <v>859229.62476999988</v>
          </cell>
          <cell r="I165">
            <v>38.06849315068493</v>
          </cell>
          <cell r="J165" t="str">
            <v>труба железная</v>
          </cell>
          <cell r="K165">
            <v>0</v>
          </cell>
          <cell r="L165">
            <v>15</v>
          </cell>
          <cell r="M165">
            <v>0.8</v>
          </cell>
          <cell r="N165">
            <v>0</v>
          </cell>
          <cell r="O165">
            <v>0</v>
          </cell>
          <cell r="P165">
            <v>0.8</v>
          </cell>
          <cell r="Q165">
            <v>0</v>
          </cell>
          <cell r="R165" t="e">
            <v>#DIV/0!</v>
          </cell>
          <cell r="S165">
            <v>0</v>
          </cell>
          <cell r="T165">
            <v>171846</v>
          </cell>
          <cell r="U165" t="e">
            <v>#DIV/0!</v>
          </cell>
          <cell r="V165" t="e">
            <v>#DIV/0!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 t="str">
            <v/>
          </cell>
          <cell r="AB165" t="e">
            <v>#VALUE!</v>
          </cell>
          <cell r="AC165">
            <v>0</v>
          </cell>
          <cell r="AD165" t="str">
            <v>Не рассчитывалась</v>
          </cell>
          <cell r="AE165" t="str">
            <v>Не рассчитывалась</v>
          </cell>
          <cell r="AF165" t="e">
            <v>#VALUE!</v>
          </cell>
          <cell r="AG165">
            <v>0</v>
          </cell>
          <cell r="AH165" t="str">
            <v>не будет использоваться</v>
          </cell>
          <cell r="AI165">
            <v>0</v>
          </cell>
          <cell r="AL165">
            <v>0</v>
          </cell>
          <cell r="AM165" t="str">
            <v>Не рассчитывалась</v>
          </cell>
        </row>
        <row r="166">
          <cell r="A166">
            <v>225</v>
          </cell>
          <cell r="B166" t="str">
            <v>Р00009090</v>
          </cell>
          <cell r="C166" t="str">
            <v>Воздушная эл.линия ВЛ 04 кВ МТФ №3</v>
          </cell>
          <cell r="D166">
            <v>40908</v>
          </cell>
          <cell r="E166">
            <v>40908</v>
          </cell>
          <cell r="F166">
            <v>1673253.69</v>
          </cell>
          <cell r="G166">
            <v>1.4002276176024278</v>
          </cell>
          <cell r="H166">
            <v>2342936.027993171</v>
          </cell>
          <cell r="I166">
            <v>4.0027397260273974</v>
          </cell>
          <cell r="J166" t="str">
            <v>столбы бетонные, провода</v>
          </cell>
          <cell r="K166">
            <v>0</v>
          </cell>
          <cell r="L166">
            <v>25</v>
          </cell>
          <cell r="M166">
            <v>0.1601095890410959</v>
          </cell>
          <cell r="N166">
            <v>0</v>
          </cell>
          <cell r="O166">
            <v>0</v>
          </cell>
          <cell r="P166">
            <v>0.16010958904109596</v>
          </cell>
          <cell r="Q166">
            <v>1450771.29</v>
          </cell>
          <cell r="R166" t="e">
            <v>#DIV/0!</v>
          </cell>
          <cell r="S166" t="str">
            <v>Не соответствует</v>
          </cell>
          <cell r="T166">
            <v>1967810</v>
          </cell>
          <cell r="U166" t="e">
            <v>#DIV/0!</v>
          </cell>
          <cell r="V166">
            <v>1.3563888488584579</v>
          </cell>
          <cell r="W166" t="str">
            <v>Соответствует</v>
          </cell>
          <cell r="X166">
            <v>0</v>
          </cell>
          <cell r="Y166">
            <v>0</v>
          </cell>
          <cell r="Z166" t="str">
            <v/>
          </cell>
          <cell r="AA166" t="str">
            <v/>
          </cell>
          <cell r="AB166" t="e">
            <v>#VALUE!</v>
          </cell>
          <cell r="AC166" t="str">
            <v>Не рассчитывалась</v>
          </cell>
          <cell r="AD166" t="str">
            <v>Не рассчитывалась</v>
          </cell>
          <cell r="AE166" t="str">
            <v>Не рассчитывалась</v>
          </cell>
          <cell r="AF166" t="e">
            <v>#VALUE!</v>
          </cell>
          <cell r="AG166">
            <v>0</v>
          </cell>
          <cell r="AH166">
            <v>0</v>
          </cell>
          <cell r="AI166">
            <v>0</v>
          </cell>
          <cell r="AJ16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6">
            <v>1967810</v>
          </cell>
          <cell r="AM166" t="str">
            <v>По сроку службы</v>
          </cell>
        </row>
        <row r="167">
          <cell r="A167">
            <v>226</v>
          </cell>
          <cell r="B167">
            <v>584</v>
          </cell>
          <cell r="C167" t="str">
            <v>Выгульная площадка для телят(190) МТФ№4</v>
          </cell>
          <cell r="D167">
            <v>29570</v>
          </cell>
          <cell r="E167">
            <v>29570</v>
          </cell>
          <cell r="F167">
            <v>99200</v>
          </cell>
          <cell r="G167">
            <v>13.261762999999998</v>
          </cell>
          <cell r="H167">
            <v>1315566.8895999999</v>
          </cell>
          <cell r="I167">
            <v>35.065753424657537</v>
          </cell>
          <cell r="J167" t="str">
            <v>Гравий</v>
          </cell>
          <cell r="K167">
            <v>0</v>
          </cell>
          <cell r="L167">
            <v>10</v>
          </cell>
          <cell r="M167">
            <v>0.8</v>
          </cell>
          <cell r="N167">
            <v>0</v>
          </cell>
          <cell r="O167">
            <v>0</v>
          </cell>
          <cell r="P167">
            <v>0.8</v>
          </cell>
          <cell r="Q167">
            <v>0</v>
          </cell>
          <cell r="R167">
            <v>0</v>
          </cell>
          <cell r="S167">
            <v>0</v>
          </cell>
          <cell r="T167">
            <v>263113</v>
          </cell>
          <cell r="U167">
            <v>1461.7388888888888</v>
          </cell>
          <cell r="V167" t="e">
            <v>#DIV/0!</v>
          </cell>
          <cell r="W167">
            <v>0</v>
          </cell>
          <cell r="X167">
            <v>0</v>
          </cell>
          <cell r="Y167">
            <v>0</v>
          </cell>
          <cell r="Z167" t="str">
            <v/>
          </cell>
          <cell r="AA167" t="str">
            <v/>
          </cell>
          <cell r="AB167" t="e">
            <v>#VALUE!</v>
          </cell>
          <cell r="AC167">
            <v>0</v>
          </cell>
          <cell r="AD167" t="str">
            <v>Не рассчитывалась</v>
          </cell>
          <cell r="AE167" t="str">
            <v>Не рассчитывалась</v>
          </cell>
          <cell r="AF167" t="e">
            <v>#VALUE!</v>
          </cell>
          <cell r="AG167">
            <v>180</v>
          </cell>
          <cell r="AH167" t="str">
            <v>не будет использоваться</v>
          </cell>
          <cell r="AI167">
            <v>0</v>
          </cell>
          <cell r="AL167">
            <v>0</v>
          </cell>
          <cell r="AM167" t="str">
            <v>Не рассчитывалась</v>
          </cell>
        </row>
        <row r="168">
          <cell r="A168">
            <v>227</v>
          </cell>
          <cell r="B168">
            <v>396</v>
          </cell>
          <cell r="C168" t="str">
            <v>Гараж  для легковых а/машин (422) АТП</v>
          </cell>
          <cell r="D168">
            <v>28474</v>
          </cell>
          <cell r="E168">
            <v>28474</v>
          </cell>
          <cell r="F168">
            <v>113790</v>
          </cell>
          <cell r="G168">
            <v>13.261762999999998</v>
          </cell>
          <cell r="H168">
            <v>1509056.0117699997</v>
          </cell>
          <cell r="I168">
            <v>38.06849315068493</v>
          </cell>
          <cell r="J168" t="str">
            <v>Камень</v>
          </cell>
          <cell r="K168">
            <v>0</v>
          </cell>
          <cell r="L168">
            <v>60</v>
          </cell>
          <cell r="M168">
            <v>0.63447488584474887</v>
          </cell>
          <cell r="N168">
            <v>0</v>
          </cell>
          <cell r="O168">
            <v>0</v>
          </cell>
          <cell r="P168">
            <v>0.63447488584474887</v>
          </cell>
          <cell r="Q168">
            <v>71119.08</v>
          </cell>
          <cell r="R168">
            <v>444.49425000000002</v>
          </cell>
          <cell r="S168">
            <v>0</v>
          </cell>
          <cell r="T168">
            <v>551598</v>
          </cell>
          <cell r="U168">
            <v>3447.4875000000002</v>
          </cell>
          <cell r="V168">
            <v>7.7559777207466682</v>
          </cell>
          <cell r="W168">
            <v>0</v>
          </cell>
          <cell r="X168">
            <v>0</v>
          </cell>
          <cell r="Y168">
            <v>0</v>
          </cell>
          <cell r="Z168" t="str">
            <v/>
          </cell>
          <cell r="AA168" t="str">
            <v/>
          </cell>
          <cell r="AB168" t="e">
            <v>#VALUE!</v>
          </cell>
          <cell r="AC168">
            <v>0</v>
          </cell>
          <cell r="AD168" t="str">
            <v>Не рассчитывалась</v>
          </cell>
          <cell r="AE168" t="str">
            <v>Не рассчитывалась</v>
          </cell>
          <cell r="AF168" t="e">
            <v>#VALUE!</v>
          </cell>
          <cell r="AG168">
            <v>160</v>
          </cell>
          <cell r="AH168" t="str">
            <v>не будет использоваться</v>
          </cell>
          <cell r="AI168">
            <v>0</v>
          </cell>
          <cell r="AL168">
            <v>0</v>
          </cell>
          <cell r="AM168" t="str">
            <v>Не рассчитывалась</v>
          </cell>
        </row>
        <row r="169">
          <cell r="A169">
            <v>228</v>
          </cell>
          <cell r="B169" t="str">
            <v>Ц00003209</v>
          </cell>
          <cell r="C169" t="str">
            <v>Дезбарьер  (НП МТФ№2)</v>
          </cell>
          <cell r="D169">
            <v>41913</v>
          </cell>
          <cell r="E169">
            <v>41913</v>
          </cell>
          <cell r="F169">
            <v>27576.77</v>
          </cell>
          <cell r="G169">
            <v>0.98663458968190321</v>
          </cell>
          <cell r="H169">
            <v>27208.195153702218</v>
          </cell>
          <cell r="I169">
            <v>1.2493150684931507</v>
          </cell>
          <cell r="J169" t="str">
            <v>бетон</v>
          </cell>
          <cell r="K169">
            <v>0</v>
          </cell>
          <cell r="L169">
            <v>45</v>
          </cell>
          <cell r="M169">
            <v>2.7762557077625569E-2</v>
          </cell>
          <cell r="N169">
            <v>0</v>
          </cell>
          <cell r="O169">
            <v>0</v>
          </cell>
          <cell r="P169">
            <v>2.7762557077625538E-2</v>
          </cell>
          <cell r="Q169">
            <v>23034.75</v>
          </cell>
          <cell r="R169">
            <v>767.82500000000005</v>
          </cell>
          <cell r="S169" t="str">
            <v>Не соответствует</v>
          </cell>
          <cell r="T169">
            <v>26453</v>
          </cell>
          <cell r="U169">
            <v>881.76666666666665</v>
          </cell>
          <cell r="V169">
            <v>1.1483953591855782</v>
          </cell>
          <cell r="W169" t="str">
            <v>Соответствует</v>
          </cell>
          <cell r="X169">
            <v>0</v>
          </cell>
          <cell r="Y169">
            <v>0</v>
          </cell>
          <cell r="Z169" t="str">
            <v/>
          </cell>
          <cell r="AA169" t="str">
            <v/>
          </cell>
          <cell r="AB169" t="e">
            <v>#VALUE!</v>
          </cell>
          <cell r="AC169" t="str">
            <v>Не рассчитывалась</v>
          </cell>
          <cell r="AD169" t="str">
            <v>Не рассчитывалась</v>
          </cell>
          <cell r="AE169" t="str">
            <v>Не рассчитывалась</v>
          </cell>
          <cell r="AF169" t="e">
            <v>#VALUE!</v>
          </cell>
          <cell r="AG169">
            <v>30</v>
          </cell>
          <cell r="AH169">
            <v>0</v>
          </cell>
          <cell r="AI169" t="str">
            <v>Уточнить состояние по фото</v>
          </cell>
          <cell r="AJ16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9">
            <v>26453</v>
          </cell>
          <cell r="AM169" t="str">
            <v>По сроку службы</v>
          </cell>
        </row>
        <row r="170">
          <cell r="A170">
            <v>229</v>
          </cell>
          <cell r="B170">
            <v>637</v>
          </cell>
          <cell r="C170" t="str">
            <v>Диз,станция АД - 60   451</v>
          </cell>
          <cell r="D170">
            <v>33587</v>
          </cell>
          <cell r="E170">
            <v>33587</v>
          </cell>
          <cell r="F170">
            <v>15175</v>
          </cell>
          <cell r="G170">
            <v>13.261762999999998</v>
          </cell>
          <cell r="H170">
            <v>201247.25352499998</v>
          </cell>
          <cell r="I170">
            <v>24.06027397260274</v>
          </cell>
          <cell r="J170" t="str">
            <v>металл</v>
          </cell>
          <cell r="K170">
            <v>0</v>
          </cell>
          <cell r="L170">
            <v>7</v>
          </cell>
          <cell r="M170">
            <v>0.8</v>
          </cell>
          <cell r="N170">
            <v>0</v>
          </cell>
          <cell r="O170">
            <v>0</v>
          </cell>
          <cell r="P170">
            <v>0.8</v>
          </cell>
          <cell r="Q170">
            <v>0</v>
          </cell>
          <cell r="R170">
            <v>0</v>
          </cell>
          <cell r="S170">
            <v>0</v>
          </cell>
          <cell r="T170">
            <v>40249</v>
          </cell>
          <cell r="U170">
            <v>2012.45</v>
          </cell>
          <cell r="V170" t="e">
            <v>#DIV/0!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 t="str">
            <v/>
          </cell>
          <cell r="AB170" t="e">
            <v>#VALUE!</v>
          </cell>
          <cell r="AC170">
            <v>0</v>
          </cell>
          <cell r="AD170" t="str">
            <v>Не рассчитывалась</v>
          </cell>
          <cell r="AE170" t="str">
            <v>Не рассчитывалась</v>
          </cell>
          <cell r="AF170" t="e">
            <v>#VALUE!</v>
          </cell>
          <cell r="AG170">
            <v>20</v>
          </cell>
          <cell r="AH170" t="str">
            <v>не будет использоваться</v>
          </cell>
          <cell r="AI170">
            <v>0</v>
          </cell>
          <cell r="AL170">
            <v>0</v>
          </cell>
          <cell r="AM170" t="str">
            <v>Не рассчитывалась</v>
          </cell>
        </row>
        <row r="171">
          <cell r="A171">
            <v>230</v>
          </cell>
          <cell r="B171" t="str">
            <v>Ц00003197</v>
          </cell>
          <cell r="C171" t="str">
            <v>Дорога асфальт к МТФ№2 (НП МТФ№2)</v>
          </cell>
          <cell r="D171">
            <v>41913</v>
          </cell>
          <cell r="E171">
            <v>41913</v>
          </cell>
          <cell r="F171">
            <v>228419.44</v>
          </cell>
          <cell r="G171">
            <v>0.98663458968190321</v>
          </cell>
          <cell r="H171">
            <v>225366.52045977011</v>
          </cell>
          <cell r="I171">
            <v>1.2493150684931507</v>
          </cell>
          <cell r="J171" t="str">
            <v>асфальт</v>
          </cell>
          <cell r="K171">
            <v>0</v>
          </cell>
          <cell r="L171">
            <v>17</v>
          </cell>
          <cell r="M171">
            <v>7.3489121676067692E-2</v>
          </cell>
          <cell r="N171">
            <v>0</v>
          </cell>
          <cell r="O171">
            <v>0</v>
          </cell>
          <cell r="P171">
            <v>7.3489121676067692E-2</v>
          </cell>
          <cell r="Q171">
            <v>141990.44</v>
          </cell>
          <cell r="R171" t="e">
            <v>#DIV/0!</v>
          </cell>
          <cell r="S171" t="str">
            <v>Не соответствует</v>
          </cell>
          <cell r="T171">
            <v>208805</v>
          </cell>
          <cell r="U171" t="e">
            <v>#DIV/0!</v>
          </cell>
          <cell r="V171">
            <v>1.4705567501586727</v>
          </cell>
          <cell r="W171" t="str">
            <v>Соответствует</v>
          </cell>
          <cell r="X171">
            <v>0</v>
          </cell>
          <cell r="Y171">
            <v>0</v>
          </cell>
          <cell r="Z171" t="str">
            <v/>
          </cell>
          <cell r="AA171" t="str">
            <v/>
          </cell>
          <cell r="AB171" t="e">
            <v>#VALUE!</v>
          </cell>
          <cell r="AC171" t="str">
            <v>Не рассчитывалась</v>
          </cell>
          <cell r="AD171" t="str">
            <v>Не рассчитывалась</v>
          </cell>
          <cell r="AE171" t="str">
            <v>Не рассчитывалась</v>
          </cell>
          <cell r="AF171" t="e">
            <v>#VALUE!</v>
          </cell>
          <cell r="AG171">
            <v>0</v>
          </cell>
          <cell r="AH171">
            <v>0</v>
          </cell>
          <cell r="AI171">
            <v>0</v>
          </cell>
          <cell r="AJ171" t="str">
            <v>Фото и данные о площади/протяженности не предоставлены.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71">
            <v>208805</v>
          </cell>
          <cell r="AM171" t="str">
            <v>По сроку службы</v>
          </cell>
        </row>
        <row r="172">
          <cell r="A172">
            <v>231</v>
          </cell>
          <cell r="B172" t="str">
            <v>Р00005694</v>
          </cell>
          <cell r="C172" t="str">
            <v>Дорожка тротуарная 2888м ул. Октябрьская</v>
          </cell>
          <cell r="D172">
            <v>27378</v>
          </cell>
          <cell r="E172">
            <v>27378</v>
          </cell>
          <cell r="F172">
            <v>111196.82</v>
          </cell>
          <cell r="G172">
            <v>13.261762999999998</v>
          </cell>
          <cell r="H172">
            <v>1474665.8731936598</v>
          </cell>
          <cell r="I172">
            <v>41.07123287671233</v>
          </cell>
          <cell r="J172" t="str">
            <v>Тротуарная плитка</v>
          </cell>
          <cell r="K172">
            <v>0</v>
          </cell>
          <cell r="L172">
            <v>17</v>
          </cell>
          <cell r="M172">
            <v>0.8</v>
          </cell>
          <cell r="N172">
            <v>0</v>
          </cell>
          <cell r="O172">
            <v>0</v>
          </cell>
          <cell r="P172">
            <v>0.8</v>
          </cell>
          <cell r="Q172">
            <v>0</v>
          </cell>
          <cell r="R172" t="e">
            <v>#DIV/0!</v>
          </cell>
          <cell r="S172">
            <v>0</v>
          </cell>
          <cell r="T172">
            <v>294933</v>
          </cell>
          <cell r="U172" t="e">
            <v>#DIV/0!</v>
          </cell>
          <cell r="V172" t="e">
            <v>#DIV/0!</v>
          </cell>
          <cell r="W172">
            <v>0</v>
          </cell>
          <cell r="X172">
            <v>0</v>
          </cell>
          <cell r="Y172">
            <v>0</v>
          </cell>
          <cell r="Z172" t="str">
            <v/>
          </cell>
          <cell r="AA172" t="str">
            <v/>
          </cell>
          <cell r="AB172" t="e">
            <v>#VALUE!</v>
          </cell>
          <cell r="AC172">
            <v>0</v>
          </cell>
          <cell r="AD172" t="str">
            <v>Не рассчитывалась</v>
          </cell>
          <cell r="AE172" t="str">
            <v>Не рассчитывалась</v>
          </cell>
          <cell r="AF172" t="e">
            <v>#VALUE!</v>
          </cell>
          <cell r="AG172">
            <v>0</v>
          </cell>
          <cell r="AH172" t="str">
            <v>не будет использоваться</v>
          </cell>
          <cell r="AI172">
            <v>0</v>
          </cell>
          <cell r="AL172">
            <v>0</v>
          </cell>
          <cell r="AM172" t="str">
            <v>Не рассчитывалась</v>
          </cell>
        </row>
        <row r="173">
          <cell r="A173">
            <v>232</v>
          </cell>
          <cell r="B173" t="str">
            <v>Ц00003199</v>
          </cell>
          <cell r="C173" t="str">
            <v>Жомовая яма КДС  (НП МТФ№3)</v>
          </cell>
          <cell r="D173">
            <v>41913</v>
          </cell>
          <cell r="E173">
            <v>41913</v>
          </cell>
          <cell r="F173">
            <v>761.4</v>
          </cell>
          <cell r="G173">
            <v>0.98663458968190321</v>
          </cell>
          <cell r="H173">
            <v>751.2235765838011</v>
          </cell>
          <cell r="I173">
            <v>1.2493150684931507</v>
          </cell>
          <cell r="J173" t="str">
            <v>бетон</v>
          </cell>
          <cell r="K173">
            <v>0</v>
          </cell>
          <cell r="L173">
            <v>45</v>
          </cell>
          <cell r="M173">
            <v>2.7762557077625569E-2</v>
          </cell>
          <cell r="N173">
            <v>0</v>
          </cell>
          <cell r="O173">
            <v>0</v>
          </cell>
          <cell r="P173">
            <v>2.7762557077625538E-2</v>
          </cell>
          <cell r="Q173">
            <v>0</v>
          </cell>
          <cell r="R173" t="e">
            <v>#DIV/0!</v>
          </cell>
          <cell r="S173">
            <v>0</v>
          </cell>
          <cell r="T173">
            <v>730</v>
          </cell>
          <cell r="U173" t="e">
            <v>#DIV/0!</v>
          </cell>
          <cell r="V173" t="e">
            <v>#DIV/0!</v>
          </cell>
          <cell r="W173">
            <v>0</v>
          </cell>
          <cell r="X173">
            <v>0</v>
          </cell>
          <cell r="Y173">
            <v>0</v>
          </cell>
          <cell r="Z173" t="str">
            <v/>
          </cell>
          <cell r="AA173" t="str">
            <v/>
          </cell>
          <cell r="AB173" t="e">
            <v>#VALUE!</v>
          </cell>
          <cell r="AC173">
            <v>0</v>
          </cell>
          <cell r="AD173" t="str">
            <v>Не рассчитывалась</v>
          </cell>
          <cell r="AE173" t="str">
            <v>Не рассчитывалась</v>
          </cell>
          <cell r="AF173" t="e">
            <v>#VALUE!</v>
          </cell>
          <cell r="AG173">
            <v>0</v>
          </cell>
          <cell r="AH173" t="str">
            <v>не будет использоваться</v>
          </cell>
          <cell r="AI173">
            <v>0</v>
          </cell>
          <cell r="AL173">
            <v>0</v>
          </cell>
          <cell r="AM173" t="str">
            <v>Не рассчитывалась</v>
          </cell>
        </row>
        <row r="174">
          <cell r="A174">
            <v>233</v>
          </cell>
          <cell r="B174" t="str">
            <v>Ц00002276</v>
          </cell>
          <cell r="C174" t="str">
            <v>Замощение Об.пл. 1249,8кв.м. Кад№ 23:24:0701000:812 Литер XXXI  (НП  МТФ№2)</v>
          </cell>
          <cell r="D174">
            <v>41935</v>
          </cell>
          <cell r="E174">
            <v>41935</v>
          </cell>
          <cell r="F174">
            <v>867276.04</v>
          </cell>
          <cell r="G174">
            <v>0.98663458968190321</v>
          </cell>
          <cell r="H174">
            <v>855684.53986634593</v>
          </cell>
          <cell r="I174">
            <v>1.189041095890411</v>
          </cell>
          <cell r="J174" t="str">
            <v>монолитный бетон</v>
          </cell>
          <cell r="K174">
            <v>0</v>
          </cell>
          <cell r="L174">
            <v>20</v>
          </cell>
          <cell r="M174">
            <v>5.9452054794520551E-2</v>
          </cell>
          <cell r="N174">
            <v>0</v>
          </cell>
          <cell r="O174">
            <v>0</v>
          </cell>
          <cell r="P174">
            <v>5.9452054794520537E-2</v>
          </cell>
          <cell r="Q174">
            <v>800193.92</v>
          </cell>
          <cell r="R174">
            <v>640.25757721235402</v>
          </cell>
          <cell r="S174" t="str">
            <v>Соответствует</v>
          </cell>
          <cell r="T174">
            <v>804812</v>
          </cell>
          <cell r="U174">
            <v>643.95263242118745</v>
          </cell>
          <cell r="V174">
            <v>1.0057712010608628</v>
          </cell>
          <cell r="W174" t="str">
            <v>Соответствует</v>
          </cell>
          <cell r="X174" t="str">
            <v>хорошее</v>
          </cell>
          <cell r="Y174">
            <v>0.25</v>
          </cell>
          <cell r="Z174">
            <v>641763.40489975945</v>
          </cell>
          <cell r="AA174">
            <v>513.49288278105257</v>
          </cell>
          <cell r="AB174">
            <v>0.80200984893731686</v>
          </cell>
          <cell r="AC174" t="str">
            <v>Соответствует</v>
          </cell>
          <cell r="AD174" t="str">
            <v>Не рассчитывалась</v>
          </cell>
          <cell r="AE174" t="str">
            <v>Не рассчитывалась</v>
          </cell>
          <cell r="AF174" t="e">
            <v>#VALUE!</v>
          </cell>
          <cell r="AG174">
            <v>1249.8</v>
          </cell>
          <cell r="AH174">
            <v>0</v>
          </cell>
          <cell r="AI174">
            <v>0</v>
          </cell>
          <cell r="AL174">
            <v>804812</v>
          </cell>
          <cell r="AM174" t="str">
            <v>По сроку службы</v>
          </cell>
        </row>
        <row r="175">
          <cell r="A175">
            <v>234</v>
          </cell>
          <cell r="B175" t="str">
            <v>Ц00002279</v>
          </cell>
          <cell r="C175" t="str">
            <v>Замощение Об.пл. 1284,7кв.м. Кад№ 23:24:0701000:814  Литер XXXI (НП  МТФ№2)</v>
          </cell>
          <cell r="D175">
            <v>41935</v>
          </cell>
          <cell r="E175">
            <v>41935</v>
          </cell>
          <cell r="F175">
            <v>891494.25</v>
          </cell>
          <cell r="G175">
            <v>0.98663458968190321</v>
          </cell>
          <cell r="H175">
            <v>879579.06355252606</v>
          </cell>
          <cell r="I175">
            <v>1.189041095890411</v>
          </cell>
          <cell r="J175" t="str">
            <v>монолитный бетон</v>
          </cell>
          <cell r="K175">
            <v>0</v>
          </cell>
          <cell r="L175">
            <v>20</v>
          </cell>
          <cell r="M175">
            <v>5.9452054794520551E-2</v>
          </cell>
          <cell r="N175">
            <v>0</v>
          </cell>
          <cell r="O175">
            <v>0</v>
          </cell>
          <cell r="P175">
            <v>5.9452054794520537E-2</v>
          </cell>
          <cell r="Q175">
            <v>822538.92999999993</v>
          </cell>
          <cell r="R175">
            <v>640.2575932124231</v>
          </cell>
          <cell r="S175" t="str">
            <v>Соответствует</v>
          </cell>
          <cell r="T175">
            <v>827286</v>
          </cell>
          <cell r="U175">
            <v>643.95267377597884</v>
          </cell>
          <cell r="V175">
            <v>1.005771240517455</v>
          </cell>
          <cell r="W175" t="str">
            <v>Соответствует</v>
          </cell>
          <cell r="X175" t="str">
            <v>хорошее</v>
          </cell>
          <cell r="Y175">
            <v>0.25</v>
          </cell>
          <cell r="Z175">
            <v>659684.2976643946</v>
          </cell>
          <cell r="AA175">
            <v>513.49287589662538</v>
          </cell>
          <cell r="AB175">
            <v>0.80200981814246119</v>
          </cell>
          <cell r="AC175" t="str">
            <v>Соответствует</v>
          </cell>
          <cell r="AD175" t="str">
            <v>Не рассчитывалась</v>
          </cell>
          <cell r="AE175" t="str">
            <v>Не рассчитывалась</v>
          </cell>
          <cell r="AF175" t="e">
            <v>#VALUE!</v>
          </cell>
          <cell r="AG175">
            <v>1284.7</v>
          </cell>
          <cell r="AH175">
            <v>0</v>
          </cell>
          <cell r="AI175">
            <v>0</v>
          </cell>
          <cell r="AL175">
            <v>827286</v>
          </cell>
          <cell r="AM175" t="str">
            <v>По сроку службы</v>
          </cell>
        </row>
        <row r="176">
          <cell r="A176">
            <v>235</v>
          </cell>
          <cell r="B176" t="str">
            <v>Ц00002280</v>
          </cell>
          <cell r="C176" t="str">
            <v>Замощение Об.пл. 250,4кв.м. Кад№ 23:24:0701000:807 Литер XXXI (НП  МТФ№2)</v>
          </cell>
          <cell r="D176">
            <v>41935</v>
          </cell>
          <cell r="E176">
            <v>41935</v>
          </cell>
          <cell r="F176">
            <v>173760.53</v>
          </cell>
          <cell r="G176">
            <v>0.98663458968190321</v>
          </cell>
          <cell r="H176">
            <v>171438.14921946003</v>
          </cell>
          <cell r="I176">
            <v>1.189041095890411</v>
          </cell>
          <cell r="J176" t="str">
            <v>монолитный железобетон</v>
          </cell>
          <cell r="K176">
            <v>0</v>
          </cell>
          <cell r="L176">
            <v>20</v>
          </cell>
          <cell r="M176">
            <v>5.9452054794520551E-2</v>
          </cell>
          <cell r="N176">
            <v>0</v>
          </cell>
          <cell r="O176">
            <v>0</v>
          </cell>
          <cell r="P176">
            <v>5.9452054794520537E-2</v>
          </cell>
          <cell r="Q176">
            <v>160320.53</v>
          </cell>
          <cell r="R176">
            <v>640.25770766773167</v>
          </cell>
          <cell r="S176" t="str">
            <v>Соответствует</v>
          </cell>
          <cell r="T176">
            <v>161246</v>
          </cell>
          <cell r="U176">
            <v>643.9536741214057</v>
          </cell>
          <cell r="V176">
            <v>1.005772623131922</v>
          </cell>
          <cell r="W176" t="str">
            <v>Соответствует</v>
          </cell>
          <cell r="X176" t="str">
            <v>хорошее</v>
          </cell>
          <cell r="Y176">
            <v>0.25</v>
          </cell>
          <cell r="Z176">
            <v>128578.61191459502</v>
          </cell>
          <cell r="AA176">
            <v>513.49285908384593</v>
          </cell>
          <cell r="AB176">
            <v>0.80200964851223377</v>
          </cell>
          <cell r="AC176" t="str">
            <v>Соответствует</v>
          </cell>
          <cell r="AD176" t="str">
            <v>Не рассчитывалась</v>
          </cell>
          <cell r="AE176" t="str">
            <v>Не рассчитывалась</v>
          </cell>
          <cell r="AF176" t="e">
            <v>#VALUE!</v>
          </cell>
          <cell r="AG176">
            <v>250.4</v>
          </cell>
          <cell r="AH176">
            <v>0</v>
          </cell>
          <cell r="AI176">
            <v>0</v>
          </cell>
          <cell r="AL176">
            <v>161246</v>
          </cell>
          <cell r="AM176" t="str">
            <v>По сроку службы</v>
          </cell>
        </row>
        <row r="177">
          <cell r="A177">
            <v>236</v>
          </cell>
          <cell r="B177" t="str">
            <v>Ц00002275</v>
          </cell>
          <cell r="C177" t="str">
            <v>Замощение Об.пл. 401,2кв.м. Кад№ 23:24:0701000:810 Литер XXXI  (НП  МТФ№2)</v>
          </cell>
          <cell r="D177">
            <v>41935</v>
          </cell>
          <cell r="E177">
            <v>41935</v>
          </cell>
          <cell r="F177">
            <v>278405.46000000002</v>
          </cell>
          <cell r="G177">
            <v>0.98663458968190321</v>
          </cell>
          <cell r="H177">
            <v>274684.45679230156</v>
          </cell>
          <cell r="I177">
            <v>1.189041095890411</v>
          </cell>
          <cell r="J177" t="str">
            <v>монолитный бетон</v>
          </cell>
          <cell r="K177">
            <v>0</v>
          </cell>
          <cell r="L177">
            <v>20</v>
          </cell>
          <cell r="M177">
            <v>5.9452054794520551E-2</v>
          </cell>
          <cell r="N177">
            <v>0</v>
          </cell>
          <cell r="O177">
            <v>0</v>
          </cell>
          <cell r="P177">
            <v>5.9452054794520537E-2</v>
          </cell>
          <cell r="Q177">
            <v>256871.36000000002</v>
          </cell>
          <cell r="R177">
            <v>640.25762711864411</v>
          </cell>
          <cell r="S177" t="str">
            <v>Соответствует</v>
          </cell>
          <cell r="T177">
            <v>258354</v>
          </cell>
          <cell r="U177">
            <v>643.95314057826522</v>
          </cell>
          <cell r="V177">
            <v>1.0057719163397585</v>
          </cell>
          <cell r="W177" t="str">
            <v>Соответствует</v>
          </cell>
          <cell r="X177" t="str">
            <v>хорошее</v>
          </cell>
          <cell r="Y177">
            <v>0.25</v>
          </cell>
          <cell r="Z177">
            <v>206013.34259422618</v>
          </cell>
          <cell r="AA177">
            <v>513.49287785200943</v>
          </cell>
          <cell r="AB177">
            <v>0.80200977872436297</v>
          </cell>
          <cell r="AC177" t="str">
            <v>Соответствует</v>
          </cell>
          <cell r="AD177" t="str">
            <v>Не рассчитывалась</v>
          </cell>
          <cell r="AE177" t="str">
            <v>Не рассчитывалась</v>
          </cell>
          <cell r="AF177" t="e">
            <v>#VALUE!</v>
          </cell>
          <cell r="AG177">
            <v>401.2</v>
          </cell>
          <cell r="AH177">
            <v>0</v>
          </cell>
          <cell r="AI177">
            <v>0</v>
          </cell>
          <cell r="AL177">
            <v>258354</v>
          </cell>
          <cell r="AM177" t="str">
            <v>По сроку службы</v>
          </cell>
        </row>
        <row r="178">
          <cell r="A178">
            <v>237</v>
          </cell>
          <cell r="B178" t="str">
            <v>Ц00002277</v>
          </cell>
          <cell r="C178" t="str">
            <v>Замощение Об.пл. 511,2кв.м. Кад№ 23:24:0701000:809  Литер XXXI (НП  МТФ№2)</v>
          </cell>
          <cell r="D178">
            <v>41935</v>
          </cell>
          <cell r="E178">
            <v>41935</v>
          </cell>
          <cell r="F178">
            <v>354737.97</v>
          </cell>
          <cell r="G178">
            <v>0.98663458968190321</v>
          </cell>
          <cell r="H178">
            <v>349996.75147554127</v>
          </cell>
          <cell r="I178">
            <v>1.189041095890411</v>
          </cell>
          <cell r="J178" t="str">
            <v>монолитный бетон</v>
          </cell>
          <cell r="K178">
            <v>0</v>
          </cell>
          <cell r="L178">
            <v>20</v>
          </cell>
          <cell r="M178">
            <v>5.9452054794520551E-2</v>
          </cell>
          <cell r="N178">
            <v>0</v>
          </cell>
          <cell r="O178">
            <v>0</v>
          </cell>
          <cell r="P178">
            <v>5.9452054794520537E-2</v>
          </cell>
          <cell r="Q178">
            <v>327299.64999999997</v>
          </cell>
          <cell r="R178">
            <v>640.2575312989045</v>
          </cell>
          <cell r="S178" t="str">
            <v>Соответствует</v>
          </cell>
          <cell r="T178">
            <v>329189</v>
          </cell>
          <cell r="U178">
            <v>643.95344287949922</v>
          </cell>
          <cell r="V178">
            <v>1.0057725390173806</v>
          </cell>
          <cell r="W178" t="str">
            <v>Соответствует</v>
          </cell>
          <cell r="X178" t="str">
            <v>хорошее</v>
          </cell>
          <cell r="Y178">
            <v>0.25</v>
          </cell>
          <cell r="Z178">
            <v>262497.56360665592</v>
          </cell>
          <cell r="AA178">
            <v>513.49288655449129</v>
          </cell>
          <cell r="AB178">
            <v>0.80200991234379859</v>
          </cell>
          <cell r="AC178" t="str">
            <v>Соответствует</v>
          </cell>
          <cell r="AD178" t="str">
            <v>Не рассчитывалась</v>
          </cell>
          <cell r="AE178" t="str">
            <v>Не рассчитывалась</v>
          </cell>
          <cell r="AF178" t="e">
            <v>#VALUE!</v>
          </cell>
          <cell r="AG178">
            <v>511.2</v>
          </cell>
          <cell r="AH178">
            <v>0</v>
          </cell>
          <cell r="AI178">
            <v>0</v>
          </cell>
          <cell r="AL178">
            <v>329189</v>
          </cell>
          <cell r="AM178" t="str">
            <v>По сроку службы</v>
          </cell>
        </row>
        <row r="179">
          <cell r="A179">
            <v>238</v>
          </cell>
          <cell r="B179" t="str">
            <v>Ц00002278</v>
          </cell>
          <cell r="C179" t="str">
            <v>Замощение Об.пл. 588,4кв.м. Кад№ 23:24:0701000:811 Литер XXXI (НП  МТФ№2)</v>
          </cell>
          <cell r="D179">
            <v>41935</v>
          </cell>
          <cell r="E179">
            <v>41935</v>
          </cell>
          <cell r="F179">
            <v>408309.5</v>
          </cell>
          <cell r="G179">
            <v>0.98663458968190321</v>
          </cell>
          <cell r="H179">
            <v>402852.27599572303</v>
          </cell>
          <cell r="I179">
            <v>1.189041095890411</v>
          </cell>
          <cell r="J179" t="str">
            <v>монолитный бетон</v>
          </cell>
          <cell r="K179">
            <v>0</v>
          </cell>
          <cell r="L179">
            <v>20</v>
          </cell>
          <cell r="M179">
            <v>5.9452054794520551E-2</v>
          </cell>
          <cell r="N179">
            <v>0</v>
          </cell>
          <cell r="O179">
            <v>0</v>
          </cell>
          <cell r="P179">
            <v>5.9452054794520537E-2</v>
          </cell>
          <cell r="Q179">
            <v>376727.6</v>
          </cell>
          <cell r="R179">
            <v>640.25764785859963</v>
          </cell>
          <cell r="S179" t="str">
            <v>Соответствует</v>
          </cell>
          <cell r="T179">
            <v>378902</v>
          </cell>
          <cell r="U179">
            <v>643.95309313392249</v>
          </cell>
          <cell r="V179">
            <v>1.0057718096576944</v>
          </cell>
          <cell r="W179" t="str">
            <v>Соответствует</v>
          </cell>
          <cell r="X179" t="str">
            <v>хорошее</v>
          </cell>
          <cell r="Y179">
            <v>0.25</v>
          </cell>
          <cell r="Z179">
            <v>302139.20699679229</v>
          </cell>
          <cell r="AA179">
            <v>513.49287388985772</v>
          </cell>
          <cell r="AB179">
            <v>0.80200974655637736</v>
          </cell>
          <cell r="AC179" t="str">
            <v>Соответствует</v>
          </cell>
          <cell r="AD179" t="str">
            <v>Не рассчитывалась</v>
          </cell>
          <cell r="AE179" t="str">
            <v>Не рассчитывалась</v>
          </cell>
          <cell r="AF179" t="e">
            <v>#VALUE!</v>
          </cell>
          <cell r="AG179">
            <v>588.4</v>
          </cell>
          <cell r="AH179">
            <v>0</v>
          </cell>
          <cell r="AI179">
            <v>0</v>
          </cell>
          <cell r="AL179">
            <v>378902</v>
          </cell>
          <cell r="AM179" t="str">
            <v>По сроку службы</v>
          </cell>
        </row>
        <row r="180">
          <cell r="A180">
            <v>239</v>
          </cell>
          <cell r="B180" t="str">
            <v>Ц00002273</v>
          </cell>
          <cell r="C180" t="str">
            <v>Замощение Об.пл. 590,4кв.м. Кад№ 23:24:0701000:813 Литер XXXI (НП  МТФ№2)</v>
          </cell>
          <cell r="D180">
            <v>41935</v>
          </cell>
          <cell r="E180">
            <v>41935</v>
          </cell>
          <cell r="F180">
            <v>409697.36</v>
          </cell>
          <cell r="G180">
            <v>0.98663458968190321</v>
          </cell>
          <cell r="H180">
            <v>404221.58667735895</v>
          </cell>
          <cell r="I180">
            <v>1.189041095890411</v>
          </cell>
          <cell r="J180" t="str">
            <v>монолитный бетон</v>
          </cell>
          <cell r="K180">
            <v>0</v>
          </cell>
          <cell r="L180">
            <v>20</v>
          </cell>
          <cell r="M180">
            <v>5.9452054794520551E-2</v>
          </cell>
          <cell r="N180">
            <v>0</v>
          </cell>
          <cell r="O180">
            <v>0</v>
          </cell>
          <cell r="P180">
            <v>5.9452054794520537E-2</v>
          </cell>
          <cell r="Q180">
            <v>378008.07999999996</v>
          </cell>
          <cell r="R180">
            <v>640.25758807588068</v>
          </cell>
          <cell r="S180" t="str">
            <v>Соответствует</v>
          </cell>
          <cell r="T180">
            <v>380190</v>
          </cell>
          <cell r="U180">
            <v>643.95325203252037</v>
          </cell>
          <cell r="V180">
            <v>1.0057721517487141</v>
          </cell>
          <cell r="W180" t="str">
            <v>Соответствует</v>
          </cell>
          <cell r="X180" t="str">
            <v>хорошее</v>
          </cell>
          <cell r="Y180">
            <v>0.25</v>
          </cell>
          <cell r="Z180">
            <v>303166.19000801921</v>
          </cell>
          <cell r="AA180">
            <v>513.49286925477509</v>
          </cell>
          <cell r="AB180">
            <v>0.80200981420296424</v>
          </cell>
          <cell r="AC180" t="str">
            <v>Соответствует</v>
          </cell>
          <cell r="AD180" t="str">
            <v>Не рассчитывалась</v>
          </cell>
          <cell r="AE180" t="str">
            <v>Не рассчитывалась</v>
          </cell>
          <cell r="AF180" t="e">
            <v>#VALUE!</v>
          </cell>
          <cell r="AG180">
            <v>590.4</v>
          </cell>
          <cell r="AH180">
            <v>0</v>
          </cell>
          <cell r="AI180">
            <v>0</v>
          </cell>
          <cell r="AL180">
            <v>380190</v>
          </cell>
          <cell r="AM180" t="str">
            <v>По сроку службы</v>
          </cell>
        </row>
        <row r="181">
          <cell r="A181">
            <v>240</v>
          </cell>
          <cell r="B181" t="str">
            <v>Ц00002271</v>
          </cell>
          <cell r="C181" t="str">
            <v>Замощение Об.пл. 628,3кв.м. Кад№ 23:24:0701000:808 Литер XXXI  (НП  МТФ№2)</v>
          </cell>
          <cell r="D181">
            <v>41935</v>
          </cell>
          <cell r="E181">
            <v>41935</v>
          </cell>
          <cell r="F181">
            <v>435997.38</v>
          </cell>
          <cell r="G181">
            <v>0.98663458968190321</v>
          </cell>
          <cell r="H181">
            <v>430170.09611868486</v>
          </cell>
          <cell r="I181">
            <v>1.189041095890411</v>
          </cell>
          <cell r="J181" t="str">
            <v>монолитный бетон</v>
          </cell>
          <cell r="K181">
            <v>0</v>
          </cell>
          <cell r="L181">
            <v>20</v>
          </cell>
          <cell r="M181">
            <v>5.9452054794520551E-2</v>
          </cell>
          <cell r="N181">
            <v>0</v>
          </cell>
          <cell r="O181">
            <v>0</v>
          </cell>
          <cell r="P181">
            <v>5.9452054794520537E-2</v>
          </cell>
          <cell r="Q181">
            <v>402273.76</v>
          </cell>
          <cell r="R181">
            <v>640.25745662899897</v>
          </cell>
          <cell r="S181" t="str">
            <v>Соответствует</v>
          </cell>
          <cell r="T181">
            <v>404596</v>
          </cell>
          <cell r="U181">
            <v>643.95352538596217</v>
          </cell>
          <cell r="V181">
            <v>1.0057727851799232</v>
          </cell>
          <cell r="W181" t="str">
            <v>Соответствует</v>
          </cell>
          <cell r="X181" t="str">
            <v>хорошее</v>
          </cell>
          <cell r="Y181">
            <v>0.25</v>
          </cell>
          <cell r="Z181">
            <v>322627.57208901364</v>
          </cell>
          <cell r="AA181">
            <v>513.49287297312378</v>
          </cell>
          <cell r="AB181">
            <v>0.80200998466570039</v>
          </cell>
          <cell r="AC181" t="str">
            <v>Соответствует</v>
          </cell>
          <cell r="AD181" t="str">
            <v>Не рассчитывалась</v>
          </cell>
          <cell r="AE181" t="str">
            <v>Не рассчитывалась</v>
          </cell>
          <cell r="AF181" t="e">
            <v>#VALUE!</v>
          </cell>
          <cell r="AG181">
            <v>628.29999999999995</v>
          </cell>
          <cell r="AH181">
            <v>0</v>
          </cell>
          <cell r="AI181">
            <v>0</v>
          </cell>
          <cell r="AJ181" t="str">
            <v>Фото не предоставлено. Рыночная стоимость не существенно отличается от остаточной. В связи с этим Оценщик принял допущение о правильности расчетов по физическому износу, определенному экспертно по аналогии с остальными замощениями.</v>
          </cell>
          <cell r="AL181">
            <v>404596</v>
          </cell>
          <cell r="AM181" t="str">
            <v>По сроку службы</v>
          </cell>
        </row>
        <row r="182">
          <cell r="A182">
            <v>241</v>
          </cell>
          <cell r="B182" t="str">
            <v>Ц00002274</v>
          </cell>
          <cell r="C182" t="str">
            <v>Замощение Об.пл. 730,2кв.м. Кад№ 23:24:0701000:806 Литер XXXI  (НП  МТФ№2)</v>
          </cell>
          <cell r="D182">
            <v>41935</v>
          </cell>
          <cell r="E182">
            <v>41935</v>
          </cell>
          <cell r="F182">
            <v>506709.04</v>
          </cell>
          <cell r="G182">
            <v>0.98663458968190321</v>
          </cell>
          <cell r="H182">
            <v>499936.66576851107</v>
          </cell>
          <cell r="I182">
            <v>1.189041095890411</v>
          </cell>
          <cell r="J182" t="str">
            <v>монолитный железобетон</v>
          </cell>
          <cell r="K182">
            <v>0</v>
          </cell>
          <cell r="L182">
            <v>20</v>
          </cell>
          <cell r="M182">
            <v>5.9452054794520551E-2</v>
          </cell>
          <cell r="N182">
            <v>0</v>
          </cell>
          <cell r="O182">
            <v>0</v>
          </cell>
          <cell r="P182">
            <v>5.9452054794520537E-2</v>
          </cell>
          <cell r="Q182">
            <v>467516.04</v>
          </cell>
          <cell r="R182">
            <v>640.25751848808534</v>
          </cell>
          <cell r="S182" t="str">
            <v>Соответствует</v>
          </cell>
          <cell r="T182">
            <v>470214</v>
          </cell>
          <cell r="U182">
            <v>643.95234182415777</v>
          </cell>
          <cell r="V182">
            <v>1.0057708394347282</v>
          </cell>
          <cell r="W182" t="str">
            <v>Соответствует</v>
          </cell>
          <cell r="X182" t="str">
            <v>хорошее</v>
          </cell>
          <cell r="Y182">
            <v>0.25</v>
          </cell>
          <cell r="Z182">
            <v>374952.49932638329</v>
          </cell>
          <cell r="AA182">
            <v>513.49287774086997</v>
          </cell>
          <cell r="AB182">
            <v>0.80200991462535343</v>
          </cell>
          <cell r="AC182" t="str">
            <v>Соответствует</v>
          </cell>
          <cell r="AD182" t="str">
            <v>Не рассчитывалась</v>
          </cell>
          <cell r="AE182" t="str">
            <v>Не рассчитывалась</v>
          </cell>
          <cell r="AF182" t="e">
            <v>#VALUE!</v>
          </cell>
          <cell r="AG182">
            <v>730.2</v>
          </cell>
          <cell r="AH182">
            <v>0</v>
          </cell>
          <cell r="AI182">
            <v>0</v>
          </cell>
          <cell r="AL182">
            <v>470214</v>
          </cell>
          <cell r="AM182" t="str">
            <v>По сроку службы</v>
          </cell>
        </row>
        <row r="183">
          <cell r="A183">
            <v>242</v>
          </cell>
          <cell r="B183" t="str">
            <v>Ц00002281</v>
          </cell>
          <cell r="C183" t="str">
            <v>Замощение Об.пл. 797,6кв.м. Кад№ 23:24:0701000:817 Литер XXXI  (НП  МТФ№2)</v>
          </cell>
          <cell r="D183">
            <v>41935</v>
          </cell>
          <cell r="E183">
            <v>41935</v>
          </cell>
          <cell r="F183">
            <v>553480.05000000005</v>
          </cell>
          <cell r="G183">
            <v>0.98663458968190321</v>
          </cell>
          <cell r="H183">
            <v>546082.56202886929</v>
          </cell>
          <cell r="I183">
            <v>1.189041095890411</v>
          </cell>
          <cell r="J183" t="str">
            <v>монолитный бетон</v>
          </cell>
          <cell r="K183">
            <v>0</v>
          </cell>
          <cell r="L183">
            <v>20</v>
          </cell>
          <cell r="M183">
            <v>5.9452054794520551E-2</v>
          </cell>
          <cell r="N183">
            <v>0</v>
          </cell>
          <cell r="O183">
            <v>0</v>
          </cell>
          <cell r="P183">
            <v>5.9452054794520537E-2</v>
          </cell>
          <cell r="Q183">
            <v>510669.45000000007</v>
          </cell>
          <cell r="R183">
            <v>640.25758525576737</v>
          </cell>
          <cell r="S183" t="str">
            <v>Соответствует</v>
          </cell>
          <cell r="T183">
            <v>513617</v>
          </cell>
          <cell r="U183">
            <v>643.95310932798395</v>
          </cell>
          <cell r="V183">
            <v>1.0057719332926611</v>
          </cell>
          <cell r="W183" t="str">
            <v>Соответствует</v>
          </cell>
          <cell r="X183" t="str">
            <v>хорошее</v>
          </cell>
          <cell r="Y183">
            <v>0.25</v>
          </cell>
          <cell r="Z183">
            <v>409561.92152165197</v>
          </cell>
          <cell r="AA183">
            <v>513.49288054369606</v>
          </cell>
          <cell r="AB183">
            <v>0.8020098353673828</v>
          </cell>
          <cell r="AC183" t="str">
            <v>Соответствует</v>
          </cell>
          <cell r="AD183" t="str">
            <v>Не рассчитывалась</v>
          </cell>
          <cell r="AE183" t="str">
            <v>Не рассчитывалась</v>
          </cell>
          <cell r="AF183" t="e">
            <v>#VALUE!</v>
          </cell>
          <cell r="AG183">
            <v>797.6</v>
          </cell>
          <cell r="AH183">
            <v>0</v>
          </cell>
          <cell r="AI183">
            <v>0</v>
          </cell>
          <cell r="AL183">
            <v>513617</v>
          </cell>
          <cell r="AM183" t="str">
            <v>По сроку службы</v>
          </cell>
        </row>
        <row r="184">
          <cell r="A184">
            <v>244</v>
          </cell>
          <cell r="B184" t="str">
            <v>Ц00003194</v>
          </cell>
          <cell r="C184" t="str">
            <v>Здание половохранилище (Литер Ж, S=410,7) (НП МТФ№3)</v>
          </cell>
          <cell r="D184">
            <v>41913</v>
          </cell>
          <cell r="E184">
            <v>41913</v>
          </cell>
          <cell r="F184">
            <v>50347.63</v>
          </cell>
          <cell r="G184">
            <v>0.98663458968190321</v>
          </cell>
          <cell r="H184">
            <v>49674.713266506275</v>
          </cell>
          <cell r="I184">
            <v>1.2493150684931507</v>
          </cell>
          <cell r="J184" t="str">
            <v>Бетон</v>
          </cell>
          <cell r="K184">
            <v>0</v>
          </cell>
          <cell r="L184">
            <v>50</v>
          </cell>
          <cell r="M184">
            <v>2.4986301369863014E-2</v>
          </cell>
          <cell r="N184">
            <v>0</v>
          </cell>
          <cell r="O184">
            <v>0</v>
          </cell>
          <cell r="P184">
            <v>2.4986301369863018E-2</v>
          </cell>
          <cell r="Q184">
            <v>46453.39</v>
          </cell>
          <cell r="R184">
            <v>113.0252798053528</v>
          </cell>
          <cell r="S184" t="str">
            <v>Соответствует</v>
          </cell>
          <cell r="T184">
            <v>48434</v>
          </cell>
          <cell r="U184">
            <v>117.84428223844282</v>
          </cell>
          <cell r="V184">
            <v>1.042636500802202</v>
          </cell>
          <cell r="W184" t="str">
            <v>Соответствует</v>
          </cell>
          <cell r="X184">
            <v>0</v>
          </cell>
          <cell r="Y184">
            <v>0</v>
          </cell>
          <cell r="Z184" t="str">
            <v/>
          </cell>
          <cell r="AA184" t="str">
            <v/>
          </cell>
          <cell r="AB184" t="e">
            <v>#VALUE!</v>
          </cell>
          <cell r="AC184" t="str">
            <v>Не рассчитывалась</v>
          </cell>
          <cell r="AD184" t="str">
            <v>Не рассчитывалась</v>
          </cell>
          <cell r="AE184" t="str">
            <v>Не рассчитывалась</v>
          </cell>
          <cell r="AF184" t="e">
            <v>#VALUE!</v>
          </cell>
          <cell r="AG184">
            <v>411</v>
          </cell>
          <cell r="AH184">
            <v>0</v>
          </cell>
          <cell r="AI184" t="str">
            <v>Уточнить состояние по фото</v>
          </cell>
          <cell r="AJ184" t="str">
            <v>Фото не предоставлено. Чем обусловлена столь низкая балансовая стоимость 50 347 тыс. руб. за бетонный объект площадью 410 кв. м? Расчет по Ко-Инвесту невозможен, т. к. не предоставлены данные о строительном объеме.</v>
          </cell>
          <cell r="AK184">
            <v>1</v>
          </cell>
          <cell r="AL184">
            <v>48434</v>
          </cell>
          <cell r="AM184" t="str">
            <v>По сроку службы</v>
          </cell>
        </row>
        <row r="185">
          <cell r="A185">
            <v>245</v>
          </cell>
          <cell r="B185" t="str">
            <v>Ц00003195</v>
          </cell>
          <cell r="C185" t="str">
            <v>Здание половохранилище (Литер И, S=876,8) (НП МТФ№3)</v>
          </cell>
          <cell r="D185">
            <v>41913</v>
          </cell>
          <cell r="E185">
            <v>41913</v>
          </cell>
          <cell r="F185">
            <v>24605.599999999999</v>
          </cell>
          <cell r="G185">
            <v>0.98663458968190321</v>
          </cell>
          <cell r="H185">
            <v>24276.736059877036</v>
          </cell>
          <cell r="I185">
            <v>1.2493150684931507</v>
          </cell>
          <cell r="J185" t="str">
            <v>Бетон</v>
          </cell>
          <cell r="K185">
            <v>0</v>
          </cell>
          <cell r="L185">
            <v>50</v>
          </cell>
          <cell r="M185">
            <v>2.4986301369863014E-2</v>
          </cell>
          <cell r="N185">
            <v>0</v>
          </cell>
          <cell r="O185">
            <v>0</v>
          </cell>
          <cell r="P185">
            <v>2.4986301369863018E-2</v>
          </cell>
          <cell r="Q185">
            <v>0</v>
          </cell>
          <cell r="R185">
            <v>0</v>
          </cell>
          <cell r="S185">
            <v>0</v>
          </cell>
          <cell r="T185">
            <v>23670</v>
          </cell>
          <cell r="U185">
            <v>26.989737742303308</v>
          </cell>
          <cell r="V185" t="e">
            <v>#DIV/0!</v>
          </cell>
          <cell r="W185">
            <v>0</v>
          </cell>
          <cell r="X185">
            <v>0</v>
          </cell>
          <cell r="Y185">
            <v>0</v>
          </cell>
          <cell r="Z185" t="str">
            <v/>
          </cell>
          <cell r="AA185" t="str">
            <v/>
          </cell>
          <cell r="AB185" t="e">
            <v>#VALUE!</v>
          </cell>
          <cell r="AC185">
            <v>0</v>
          </cell>
          <cell r="AD185" t="str">
            <v>Не рассчитывалась</v>
          </cell>
          <cell r="AE185" t="str">
            <v>Не рассчитывалась</v>
          </cell>
          <cell r="AF185" t="e">
            <v>#VALUE!</v>
          </cell>
          <cell r="AG185">
            <v>877</v>
          </cell>
          <cell r="AH185" t="str">
            <v>не будет использоваться</v>
          </cell>
          <cell r="AI185" t="str">
            <v>Уточнить состояние по фото</v>
          </cell>
          <cell r="AL185">
            <v>0</v>
          </cell>
          <cell r="AM185" t="str">
            <v>Не рассчитывалась</v>
          </cell>
        </row>
        <row r="186">
          <cell r="A186">
            <v>246</v>
          </cell>
          <cell r="B186" t="str">
            <v>Ц00003198</v>
          </cell>
          <cell r="C186" t="str">
            <v>Канализация навозная  (НП МТФ№3)</v>
          </cell>
          <cell r="D186">
            <v>41913</v>
          </cell>
          <cell r="E186">
            <v>41913</v>
          </cell>
          <cell r="F186">
            <v>761.4</v>
          </cell>
          <cell r="G186">
            <v>0.98663458968190321</v>
          </cell>
          <cell r="H186">
            <v>751.2235765838011</v>
          </cell>
          <cell r="I186">
            <v>1.2493150684931507</v>
          </cell>
          <cell r="J186" t="str">
            <v>Бетон</v>
          </cell>
          <cell r="K186">
            <v>0</v>
          </cell>
          <cell r="L186">
            <v>25</v>
          </cell>
          <cell r="M186">
            <v>4.9972602739726028E-2</v>
          </cell>
          <cell r="N186">
            <v>0</v>
          </cell>
          <cell r="O186">
            <v>0</v>
          </cell>
          <cell r="P186">
            <v>4.9972602739726035E-2</v>
          </cell>
          <cell r="Q186">
            <v>0</v>
          </cell>
          <cell r="R186" t="e">
            <v>#DIV/0!</v>
          </cell>
          <cell r="S186">
            <v>0</v>
          </cell>
          <cell r="T186">
            <v>714</v>
          </cell>
          <cell r="U186" t="e">
            <v>#DIV/0!</v>
          </cell>
          <cell r="V186" t="e">
            <v>#DIV/0!</v>
          </cell>
          <cell r="W186">
            <v>0</v>
          </cell>
          <cell r="X186">
            <v>0</v>
          </cell>
          <cell r="Y186">
            <v>0</v>
          </cell>
          <cell r="Z186" t="str">
            <v/>
          </cell>
          <cell r="AA186" t="str">
            <v/>
          </cell>
          <cell r="AB186" t="e">
            <v>#VALUE!</v>
          </cell>
          <cell r="AC186">
            <v>0</v>
          </cell>
          <cell r="AD186" t="str">
            <v>Не рассчитывалась</v>
          </cell>
          <cell r="AE186" t="str">
            <v>Не рассчитывалась</v>
          </cell>
          <cell r="AF186" t="e">
            <v>#VALUE!</v>
          </cell>
          <cell r="AG186">
            <v>0</v>
          </cell>
          <cell r="AH186" t="str">
            <v>не будет использоваться</v>
          </cell>
          <cell r="AI186">
            <v>0</v>
          </cell>
          <cell r="AL186">
            <v>0</v>
          </cell>
          <cell r="AM186" t="str">
            <v>Не рассчитывалась</v>
          </cell>
        </row>
        <row r="187">
          <cell r="A187">
            <v>247</v>
          </cell>
          <cell r="B187" t="str">
            <v>Ц00003200</v>
          </cell>
          <cell r="C187" t="str">
            <v>Канализация самотечная  (НП МТФ№3)</v>
          </cell>
          <cell r="D187">
            <v>41913</v>
          </cell>
          <cell r="E187">
            <v>41913</v>
          </cell>
          <cell r="F187">
            <v>761.4</v>
          </cell>
          <cell r="G187">
            <v>0.98663458968190321</v>
          </cell>
          <cell r="H187">
            <v>751.2235765838011</v>
          </cell>
          <cell r="I187">
            <v>1.2493150684931507</v>
          </cell>
          <cell r="J187" t="str">
            <v>Бетон</v>
          </cell>
          <cell r="K187">
            <v>0</v>
          </cell>
          <cell r="L187">
            <v>25</v>
          </cell>
          <cell r="M187">
            <v>4.9972602739726028E-2</v>
          </cell>
          <cell r="N187">
            <v>0</v>
          </cell>
          <cell r="O187">
            <v>0</v>
          </cell>
          <cell r="P187">
            <v>4.9972602739726035E-2</v>
          </cell>
          <cell r="Q187">
            <v>0</v>
          </cell>
          <cell r="R187" t="e">
            <v>#DIV/0!</v>
          </cell>
          <cell r="S187">
            <v>0</v>
          </cell>
          <cell r="T187">
            <v>714</v>
          </cell>
          <cell r="U187" t="e">
            <v>#DIV/0!</v>
          </cell>
          <cell r="V187" t="e">
            <v>#DIV/0!</v>
          </cell>
          <cell r="W187">
            <v>0</v>
          </cell>
          <cell r="X187">
            <v>0</v>
          </cell>
          <cell r="Y187">
            <v>0</v>
          </cell>
          <cell r="Z187" t="str">
            <v/>
          </cell>
          <cell r="AA187" t="str">
            <v/>
          </cell>
          <cell r="AB187" t="e">
            <v>#VALUE!</v>
          </cell>
          <cell r="AC187">
            <v>0</v>
          </cell>
          <cell r="AD187" t="str">
            <v>Не рассчитывалась</v>
          </cell>
          <cell r="AE187" t="str">
            <v>Не рассчитывалась</v>
          </cell>
          <cell r="AF187" t="e">
            <v>#VALUE!</v>
          </cell>
          <cell r="AG187">
            <v>0</v>
          </cell>
          <cell r="AH187" t="str">
            <v>не будет использоваться</v>
          </cell>
          <cell r="AI187">
            <v>0</v>
          </cell>
          <cell r="AL187">
            <v>0</v>
          </cell>
          <cell r="AM187" t="str">
            <v>Не рассчитывалась</v>
          </cell>
        </row>
        <row r="188">
          <cell r="A188">
            <v>250</v>
          </cell>
          <cell r="B188" t="str">
            <v>Р00010142</v>
          </cell>
          <cell r="C188" t="str">
            <v>Кластер №3  Кад№ 23:11:0702000:881</v>
          </cell>
          <cell r="D188">
            <v>41633</v>
          </cell>
          <cell r="E188">
            <v>41633</v>
          </cell>
          <cell r="F188">
            <v>3711949.15</v>
          </cell>
          <cell r="G188">
            <v>1.0161046111493461</v>
          </cell>
          <cell r="H188">
            <v>3771728.6476668958</v>
          </cell>
          <cell r="I188">
            <v>2.0164383561643837</v>
          </cell>
          <cell r="J188" t="str">
            <v>бетон</v>
          </cell>
          <cell r="K188">
            <v>0</v>
          </cell>
          <cell r="L188">
            <v>50</v>
          </cell>
          <cell r="M188">
            <v>4.0328767123287673E-2</v>
          </cell>
          <cell r="N188">
            <v>0</v>
          </cell>
          <cell r="O188">
            <v>0</v>
          </cell>
          <cell r="P188">
            <v>4.0328767123287701E-2</v>
          </cell>
          <cell r="Q188">
            <v>2251510.0299999998</v>
          </cell>
          <cell r="R188" t="e">
            <v>#VALUE!</v>
          </cell>
          <cell r="S188" t="str">
            <v>Соответствует</v>
          </cell>
          <cell r="T188">
            <v>3619619</v>
          </cell>
          <cell r="U188" t="e">
            <v>#VALUE!</v>
          </cell>
          <cell r="V188">
            <v>1.6076406286317988</v>
          </cell>
          <cell r="W188" t="str">
            <v>Соответствует</v>
          </cell>
          <cell r="X188">
            <v>0</v>
          </cell>
          <cell r="Y188">
            <v>0</v>
          </cell>
          <cell r="Z188" t="str">
            <v/>
          </cell>
          <cell r="AA188" t="str">
            <v/>
          </cell>
          <cell r="AB188" t="e">
            <v>#VALUE!</v>
          </cell>
          <cell r="AC188" t="str">
            <v>Не рассчитывалась</v>
          </cell>
          <cell r="AD188" t="str">
            <v>Не рассчитывалась</v>
          </cell>
          <cell r="AE188" t="str">
            <v>Не рассчитывалась</v>
          </cell>
          <cell r="AF188" t="e">
            <v>#VALUE!</v>
          </cell>
          <cell r="AG188" t="str">
            <v>протяженность 1560 м.</v>
          </cell>
          <cell r="AH188">
            <v>0</v>
          </cell>
          <cell r="AI188">
            <v>0</v>
          </cell>
          <cell r="AJ188" t="str">
            <v>Фото не предоставлено. Расчет по Ко-Инвесту невозможен, т. к. не предоставлены данные о строительном объеме.</v>
          </cell>
          <cell r="AL188">
            <v>3619619</v>
          </cell>
          <cell r="AM188" t="str">
            <v>По сроку службы</v>
          </cell>
        </row>
        <row r="189">
          <cell r="A189">
            <v>253</v>
          </cell>
          <cell r="B189">
            <v>617</v>
          </cell>
          <cell r="C189" t="str">
            <v>Корыто из труб</v>
          </cell>
          <cell r="D189">
            <v>31761</v>
          </cell>
          <cell r="E189">
            <v>31761</v>
          </cell>
          <cell r="F189">
            <v>5200</v>
          </cell>
          <cell r="G189">
            <v>13.261762999999998</v>
          </cell>
          <cell r="H189">
            <v>68961.167599999986</v>
          </cell>
          <cell r="I189">
            <v>29.063013698630137</v>
          </cell>
          <cell r="J189" t="str">
            <v>сталь</v>
          </cell>
          <cell r="K189">
            <v>0</v>
          </cell>
          <cell r="L189">
            <v>10</v>
          </cell>
          <cell r="M189">
            <v>0.8</v>
          </cell>
          <cell r="N189">
            <v>0</v>
          </cell>
          <cell r="O189">
            <v>0</v>
          </cell>
          <cell r="P189">
            <v>0.8</v>
          </cell>
          <cell r="Q189">
            <v>0</v>
          </cell>
          <cell r="R189" t="e">
            <v>#DIV/0!</v>
          </cell>
          <cell r="S189">
            <v>0</v>
          </cell>
          <cell r="T189">
            <v>13792</v>
          </cell>
          <cell r="U189" t="e">
            <v>#DIV/0!</v>
          </cell>
          <cell r="V189" t="e">
            <v>#DIV/0!</v>
          </cell>
          <cell r="W189">
            <v>0</v>
          </cell>
          <cell r="X189">
            <v>0</v>
          </cell>
          <cell r="Y189">
            <v>0</v>
          </cell>
          <cell r="Z189" t="str">
            <v/>
          </cell>
          <cell r="AA189" t="str">
            <v/>
          </cell>
          <cell r="AB189" t="e">
            <v>#VALUE!</v>
          </cell>
          <cell r="AC189">
            <v>0</v>
          </cell>
          <cell r="AD189" t="str">
            <v>Не рассчитывалась</v>
          </cell>
          <cell r="AE189" t="str">
            <v>Не рассчитывалась</v>
          </cell>
          <cell r="AF189" t="e">
            <v>#VALUE!</v>
          </cell>
          <cell r="AG189">
            <v>0</v>
          </cell>
          <cell r="AH189" t="str">
            <v>не будет использоваться</v>
          </cell>
          <cell r="AI189">
            <v>0</v>
          </cell>
          <cell r="AL189">
            <v>0</v>
          </cell>
          <cell r="AM189" t="str">
            <v>Не рассчитывалась</v>
          </cell>
        </row>
        <row r="190">
          <cell r="A190">
            <v>254</v>
          </cell>
          <cell r="B190">
            <v>616</v>
          </cell>
          <cell r="C190" t="str">
            <v>Корыто из труб</v>
          </cell>
          <cell r="D190">
            <v>33953</v>
          </cell>
          <cell r="E190">
            <v>33953</v>
          </cell>
          <cell r="F190">
            <v>585</v>
          </cell>
          <cell r="G190">
            <v>13.261762999999998</v>
          </cell>
          <cell r="H190">
            <v>7758.1313549999986</v>
          </cell>
          <cell r="I190">
            <v>23.057534246575344</v>
          </cell>
          <cell r="J190" t="str">
            <v>сталь</v>
          </cell>
          <cell r="K190">
            <v>0</v>
          </cell>
          <cell r="L190">
            <v>10</v>
          </cell>
          <cell r="M190">
            <v>0.8</v>
          </cell>
          <cell r="N190">
            <v>0</v>
          </cell>
          <cell r="O190">
            <v>0</v>
          </cell>
          <cell r="P190">
            <v>0.8</v>
          </cell>
          <cell r="Q190">
            <v>0</v>
          </cell>
          <cell r="R190" t="e">
            <v>#DIV/0!</v>
          </cell>
          <cell r="S190">
            <v>0</v>
          </cell>
          <cell r="T190">
            <v>1552</v>
          </cell>
          <cell r="U190" t="e">
            <v>#DIV/0!</v>
          </cell>
          <cell r="V190" t="e">
            <v>#DIV/0!</v>
          </cell>
          <cell r="W190">
            <v>0</v>
          </cell>
          <cell r="X190">
            <v>0</v>
          </cell>
          <cell r="Y190">
            <v>0</v>
          </cell>
          <cell r="Z190" t="str">
            <v/>
          </cell>
          <cell r="AA190" t="str">
            <v/>
          </cell>
          <cell r="AB190" t="e">
            <v>#VALUE!</v>
          </cell>
          <cell r="AC190">
            <v>0</v>
          </cell>
          <cell r="AD190" t="str">
            <v>Не рассчитывалась</v>
          </cell>
          <cell r="AE190" t="str">
            <v>Не рассчитывалась</v>
          </cell>
          <cell r="AF190" t="e">
            <v>#VALUE!</v>
          </cell>
          <cell r="AG190">
            <v>0</v>
          </cell>
          <cell r="AH190" t="str">
            <v>не будет использоваться</v>
          </cell>
          <cell r="AI190">
            <v>0</v>
          </cell>
          <cell r="AL190">
            <v>0</v>
          </cell>
          <cell r="AM190" t="str">
            <v>Не рассчитывалась</v>
          </cell>
        </row>
        <row r="191">
          <cell r="A191">
            <v>255</v>
          </cell>
          <cell r="B191">
            <v>615</v>
          </cell>
          <cell r="C191" t="str">
            <v>Корыто из труб</v>
          </cell>
          <cell r="D191">
            <v>31396</v>
          </cell>
          <cell r="E191">
            <v>31396</v>
          </cell>
          <cell r="F191">
            <v>8418</v>
          </cell>
          <cell r="G191">
            <v>13.261762999999998</v>
          </cell>
          <cell r="H191">
            <v>111637.52093399999</v>
          </cell>
          <cell r="I191">
            <v>30.063013698630137</v>
          </cell>
          <cell r="J191" t="str">
            <v>сталь</v>
          </cell>
          <cell r="K191">
            <v>0</v>
          </cell>
          <cell r="L191">
            <v>10</v>
          </cell>
          <cell r="M191">
            <v>0.8</v>
          </cell>
          <cell r="N191">
            <v>0</v>
          </cell>
          <cell r="O191">
            <v>0</v>
          </cell>
          <cell r="P191">
            <v>0.8</v>
          </cell>
          <cell r="Q191">
            <v>0</v>
          </cell>
          <cell r="R191" t="e">
            <v>#DIV/0!</v>
          </cell>
          <cell r="S191">
            <v>0</v>
          </cell>
          <cell r="T191">
            <v>22328</v>
          </cell>
          <cell r="U191" t="e">
            <v>#DIV/0!</v>
          </cell>
          <cell r="V191" t="e">
            <v>#DIV/0!</v>
          </cell>
          <cell r="W191">
            <v>0</v>
          </cell>
          <cell r="X191">
            <v>0</v>
          </cell>
          <cell r="Y191">
            <v>0</v>
          </cell>
          <cell r="Z191" t="str">
            <v/>
          </cell>
          <cell r="AA191" t="str">
            <v/>
          </cell>
          <cell r="AB191" t="e">
            <v>#VALUE!</v>
          </cell>
          <cell r="AC191">
            <v>0</v>
          </cell>
          <cell r="AD191" t="str">
            <v>Не рассчитывалась</v>
          </cell>
          <cell r="AE191" t="str">
            <v>Не рассчитывалась</v>
          </cell>
          <cell r="AF191" t="e">
            <v>#VALUE!</v>
          </cell>
          <cell r="AG191">
            <v>0</v>
          </cell>
          <cell r="AH191" t="str">
            <v>не будет использоваться</v>
          </cell>
          <cell r="AI191">
            <v>0</v>
          </cell>
          <cell r="AL191">
            <v>0</v>
          </cell>
          <cell r="AM191" t="str">
            <v>Не рассчитывалась</v>
          </cell>
        </row>
        <row r="192">
          <cell r="A192">
            <v>256</v>
          </cell>
          <cell r="B192">
            <v>2676</v>
          </cell>
          <cell r="C192" t="str">
            <v>Котельная при гостинице   86 "а" Об.пл. 100 кв.м.  Литер Б Инв№ 23:11:0603308:96</v>
          </cell>
          <cell r="D192">
            <v>26282</v>
          </cell>
          <cell r="E192">
            <v>26282</v>
          </cell>
          <cell r="F192">
            <v>27430</v>
          </cell>
          <cell r="G192">
            <v>13.261762999999998</v>
          </cell>
          <cell r="H192">
            <v>363770.15908999997</v>
          </cell>
          <cell r="I192">
            <v>44.073972602739723</v>
          </cell>
          <cell r="J192" t="str">
            <v>бутовые</v>
          </cell>
          <cell r="K192">
            <v>0</v>
          </cell>
          <cell r="L192">
            <v>60</v>
          </cell>
          <cell r="M192">
            <v>0.73456621004566203</v>
          </cell>
          <cell r="N192">
            <v>0</v>
          </cell>
          <cell r="O192">
            <v>0</v>
          </cell>
          <cell r="P192">
            <v>0.73456621004566203</v>
          </cell>
          <cell r="Q192">
            <v>0</v>
          </cell>
          <cell r="R192">
            <v>0</v>
          </cell>
          <cell r="S192" t="str">
            <v>Не соответствует</v>
          </cell>
          <cell r="T192">
            <v>96557</v>
          </cell>
          <cell r="U192">
            <v>965.57</v>
          </cell>
          <cell r="V192" t="e">
            <v>#DIV/0!</v>
          </cell>
          <cell r="W192" t="str">
            <v>Не соответствует</v>
          </cell>
          <cell r="X192" t="str">
            <v>отличное</v>
          </cell>
          <cell r="Y192">
            <v>0.1</v>
          </cell>
          <cell r="Z192">
            <v>327393.14318099996</v>
          </cell>
          <cell r="AA192">
            <v>3273.9314318099996</v>
          </cell>
          <cell r="AB192" t="e">
            <v>#DIV/0!</v>
          </cell>
          <cell r="AC192" t="str">
            <v>Соответствует</v>
          </cell>
          <cell r="AD192" t="str">
            <v>Не рассчитывалась</v>
          </cell>
          <cell r="AE192" t="str">
            <v>Не рассчитывалась</v>
          </cell>
          <cell r="AF192" t="e">
            <v>#VALUE!</v>
          </cell>
          <cell r="AG192">
            <v>100</v>
          </cell>
          <cell r="AH192" t="str">
            <v>будет использоваться</v>
          </cell>
          <cell r="AI192">
            <v>0</v>
          </cell>
          <cell r="AL192">
            <v>327393.14318099996</v>
          </cell>
          <cell r="AM192" t="str">
            <v>Экспертно</v>
          </cell>
        </row>
        <row r="193">
          <cell r="A193">
            <v>258</v>
          </cell>
          <cell r="B193" t="str">
            <v>Р00008269</v>
          </cell>
          <cell r="C193" t="str">
            <v>Лагуна  (Навозохранилище (1)МТФ№3)   Об 4500 куб.м.    Кад.№ 23:11:0702000:854</v>
          </cell>
          <cell r="D193">
            <v>40381</v>
          </cell>
          <cell r="E193">
            <v>40381</v>
          </cell>
          <cell r="F193">
            <v>2825669.26</v>
          </cell>
          <cell r="G193">
            <v>1.4577409162717219</v>
          </cell>
          <cell r="H193">
            <v>4119093.696153238</v>
          </cell>
          <cell r="I193">
            <v>5.4465753424657537</v>
          </cell>
          <cell r="J193" t="str">
            <v>железо-бетон</v>
          </cell>
          <cell r="K193">
            <v>0</v>
          </cell>
          <cell r="L193">
            <v>45</v>
          </cell>
          <cell r="M193">
            <v>0.12103500761035008</v>
          </cell>
          <cell r="N193">
            <v>0</v>
          </cell>
          <cell r="O193">
            <v>0</v>
          </cell>
          <cell r="P193">
            <v>0.12103500761035013</v>
          </cell>
          <cell r="Q193">
            <v>1810926.3099999998</v>
          </cell>
          <cell r="R193" t="e">
            <v>#VALUE!</v>
          </cell>
          <cell r="S193" t="str">
            <v>Не соответствует</v>
          </cell>
          <cell r="T193">
            <v>3620539</v>
          </cell>
          <cell r="U193" t="e">
            <v>#VALUE!</v>
          </cell>
          <cell r="V193">
            <v>1.9992746143270734</v>
          </cell>
          <cell r="W193" t="str">
            <v>Соответствует</v>
          </cell>
          <cell r="X193">
            <v>0</v>
          </cell>
          <cell r="Y193">
            <v>0</v>
          </cell>
          <cell r="Z193" t="str">
            <v/>
          </cell>
          <cell r="AA193" t="str">
            <v/>
          </cell>
          <cell r="AB193" t="e">
            <v>#VALUE!</v>
          </cell>
          <cell r="AC193" t="str">
            <v>Не рассчитывалась</v>
          </cell>
          <cell r="AD193">
            <v>11354619</v>
          </cell>
          <cell r="AE193">
            <v>10092.994666666667</v>
          </cell>
          <cell r="AF193">
            <v>6.2700613146428923</v>
          </cell>
          <cell r="AG193" t="str">
            <v>4500 куб.м.</v>
          </cell>
          <cell r="AH193">
            <v>0</v>
          </cell>
          <cell r="AI193">
            <v>0</v>
          </cell>
          <cell r="AJ193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804 руб./куб. м является адекватной.</v>
          </cell>
          <cell r="AL193">
            <v>3620539</v>
          </cell>
          <cell r="AM193" t="str">
            <v>По сроку службы</v>
          </cell>
        </row>
        <row r="194">
          <cell r="A194">
            <v>259</v>
          </cell>
          <cell r="B194" t="str">
            <v>Р00008447</v>
          </cell>
          <cell r="C194" t="str">
            <v>Лагуна МТФ№5 Литер :Л Об.пл. 2653 кв.м. кад№ 23:11:0702000:776</v>
          </cell>
          <cell r="D194">
            <v>40599</v>
          </cell>
          <cell r="E194">
            <v>40599</v>
          </cell>
          <cell r="F194">
            <v>2559566.2000000002</v>
          </cell>
          <cell r="G194">
            <v>1.4002276176024278</v>
          </cell>
          <cell r="H194">
            <v>3583975.2823216994</v>
          </cell>
          <cell r="I194">
            <v>4.8493150684931505</v>
          </cell>
          <cell r="J194" t="str">
            <v>железо-бетон</v>
          </cell>
          <cell r="K194">
            <v>0</v>
          </cell>
          <cell r="L194">
            <v>45</v>
          </cell>
          <cell r="M194">
            <v>0.10776255707762557</v>
          </cell>
          <cell r="N194">
            <v>0</v>
          </cell>
          <cell r="O194">
            <v>0</v>
          </cell>
          <cell r="P194">
            <v>0.10776255707762561</v>
          </cell>
          <cell r="Q194">
            <v>1739373.7000000002</v>
          </cell>
          <cell r="R194" t="e">
            <v>#VALUE!</v>
          </cell>
          <cell r="S194" t="str">
            <v>Не соответствует</v>
          </cell>
          <cell r="T194">
            <v>3197757</v>
          </cell>
          <cell r="U194" t="e">
            <v>#VALUE!</v>
          </cell>
          <cell r="V194">
            <v>1.8384531167741582</v>
          </cell>
          <cell r="W194" t="str">
            <v>Соответствует</v>
          </cell>
          <cell r="X194">
            <v>0</v>
          </cell>
          <cell r="Y194">
            <v>0</v>
          </cell>
          <cell r="Z194" t="str">
            <v/>
          </cell>
          <cell r="AA194" t="str">
            <v/>
          </cell>
          <cell r="AB194" t="e">
            <v>#VALUE!</v>
          </cell>
          <cell r="AC194" t="str">
            <v>Не рассчитывалась</v>
          </cell>
          <cell r="AD194" t="str">
            <v>Не рассчитывалась</v>
          </cell>
          <cell r="AE194" t="str">
            <v>Не рассчитывалась</v>
          </cell>
          <cell r="AF194" t="e">
            <v>#VALUE!</v>
          </cell>
          <cell r="AG194" t="str">
            <v>2653 куб.м.</v>
          </cell>
          <cell r="AH194">
            <v>0</v>
          </cell>
          <cell r="AI194">
            <v>0</v>
          </cell>
          <cell r="AJ194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1205 руб./куб. м является адекватной.</v>
          </cell>
          <cell r="AL194">
            <v>3197757</v>
          </cell>
          <cell r="AM194" t="str">
            <v>По сроку службы</v>
          </cell>
        </row>
        <row r="195">
          <cell r="A195">
            <v>260</v>
          </cell>
          <cell r="B195" t="str">
            <v>Ц00003201</v>
          </cell>
          <cell r="C195" t="str">
            <v>Летние базы-3шт (литер Т,У,Ф S=512.4)  (НП МТФ№3)</v>
          </cell>
          <cell r="D195">
            <v>41913</v>
          </cell>
          <cell r="E195">
            <v>41913</v>
          </cell>
          <cell r="F195">
            <v>33991.18</v>
          </cell>
          <cell r="G195">
            <v>0.98663458968190321</v>
          </cell>
          <cell r="H195">
            <v>33536.873932103714</v>
          </cell>
          <cell r="I195">
            <v>1.2493150684931507</v>
          </cell>
          <cell r="J195" t="str">
            <v>металл</v>
          </cell>
          <cell r="K195">
            <v>0</v>
          </cell>
          <cell r="L195">
            <v>35</v>
          </cell>
          <cell r="M195">
            <v>3.5694716242661448E-2</v>
          </cell>
          <cell r="N195">
            <v>0</v>
          </cell>
          <cell r="O195">
            <v>0</v>
          </cell>
          <cell r="P195">
            <v>3.5694716242661406E-2</v>
          </cell>
          <cell r="Q195">
            <v>21129.66</v>
          </cell>
          <cell r="R195">
            <v>41.2688671875</v>
          </cell>
          <cell r="S195" t="str">
            <v>Соответствует</v>
          </cell>
          <cell r="T195">
            <v>32340</v>
          </cell>
          <cell r="U195">
            <v>63.1640625</v>
          </cell>
          <cell r="V195">
            <v>1.5305499473252291</v>
          </cell>
          <cell r="W195" t="str">
            <v>Соответствует</v>
          </cell>
          <cell r="X195">
            <v>0</v>
          </cell>
          <cell r="Y195">
            <v>0</v>
          </cell>
          <cell r="Z195" t="str">
            <v/>
          </cell>
          <cell r="AA195" t="str">
            <v/>
          </cell>
          <cell r="AB195" t="e">
            <v>#VALUE!</v>
          </cell>
          <cell r="AC195" t="str">
            <v>Не рассчитывалась</v>
          </cell>
          <cell r="AD195" t="str">
            <v>Не рассчитывалась</v>
          </cell>
          <cell r="AE195" t="str">
            <v>Не рассчитывалась</v>
          </cell>
          <cell r="AF195" t="e">
            <v>#VALUE!</v>
          </cell>
          <cell r="AG195">
            <v>512</v>
          </cell>
          <cell r="AH195">
            <v>0</v>
          </cell>
          <cell r="AI195">
            <v>0</v>
          </cell>
          <cell r="AL195">
            <v>32340</v>
          </cell>
          <cell r="AM195" t="str">
            <v>По сроку службы</v>
          </cell>
        </row>
        <row r="196">
          <cell r="A196">
            <v>261</v>
          </cell>
          <cell r="B196" t="str">
            <v>Ц00003202</v>
          </cell>
          <cell r="C196" t="str">
            <v>Летняя кормовая площадка  (НП МТФ№3)</v>
          </cell>
          <cell r="D196">
            <v>41913</v>
          </cell>
          <cell r="E196">
            <v>41913</v>
          </cell>
          <cell r="F196">
            <v>53942.81</v>
          </cell>
          <cell r="G196">
            <v>0.98663458968190321</v>
          </cell>
          <cell r="H196">
            <v>53221.842210638861</v>
          </cell>
          <cell r="I196">
            <v>1.2493150684931507</v>
          </cell>
          <cell r="J196" t="str">
            <v>бетон</v>
          </cell>
          <cell r="K196">
            <v>0</v>
          </cell>
          <cell r="L196">
            <v>20</v>
          </cell>
          <cell r="M196">
            <v>6.246575342465753E-2</v>
          </cell>
          <cell r="N196">
            <v>0</v>
          </cell>
          <cell r="O196">
            <v>0</v>
          </cell>
          <cell r="P196">
            <v>6.2465753424657544E-2</v>
          </cell>
          <cell r="Q196">
            <v>33532.069999999992</v>
          </cell>
          <cell r="R196">
            <v>111.77356666666664</v>
          </cell>
          <cell r="S196" t="str">
            <v>Соответствует</v>
          </cell>
          <cell r="T196">
            <v>49897</v>
          </cell>
          <cell r="U196">
            <v>166.32333333333332</v>
          </cell>
          <cell r="V196">
            <v>1.4880381676407097</v>
          </cell>
          <cell r="W196" t="str">
            <v>Соответствует</v>
          </cell>
          <cell r="X196">
            <v>0</v>
          </cell>
          <cell r="Y196">
            <v>0</v>
          </cell>
          <cell r="Z196" t="str">
            <v/>
          </cell>
          <cell r="AA196" t="str">
            <v/>
          </cell>
          <cell r="AB196" t="e">
            <v>#VALUE!</v>
          </cell>
          <cell r="AC196" t="str">
            <v>Не рассчитывалась</v>
          </cell>
          <cell r="AD196" t="str">
            <v>Не рассчитывалась</v>
          </cell>
          <cell r="AE196" t="str">
            <v>Не рассчитывалась</v>
          </cell>
          <cell r="AF196" t="e">
            <v>#VALUE!</v>
          </cell>
          <cell r="AG196">
            <v>300</v>
          </cell>
          <cell r="AH196">
            <v>0</v>
          </cell>
          <cell r="AI196">
            <v>0</v>
          </cell>
          <cell r="AL196">
            <v>49897</v>
          </cell>
          <cell r="AM196" t="str">
            <v>По сроку службы</v>
          </cell>
        </row>
        <row r="197">
          <cell r="A197">
            <v>262</v>
          </cell>
          <cell r="B197">
            <v>531</v>
          </cell>
          <cell r="C197" t="str">
            <v>Мельница №2    268 СТФ</v>
          </cell>
          <cell r="D197">
            <v>35779</v>
          </cell>
          <cell r="E197">
            <v>35779</v>
          </cell>
          <cell r="F197">
            <v>840999.34</v>
          </cell>
          <cell r="G197">
            <v>13.261762999999998</v>
          </cell>
          <cell r="H197">
            <v>11153133.930236418</v>
          </cell>
          <cell r="I197">
            <v>18.054794520547944</v>
          </cell>
          <cell r="J197" t="str">
            <v>Камень</v>
          </cell>
          <cell r="K197">
            <v>0</v>
          </cell>
          <cell r="L197">
            <v>60</v>
          </cell>
          <cell r="M197">
            <v>0.30091324200913239</v>
          </cell>
          <cell r="N197">
            <v>0</v>
          </cell>
          <cell r="O197">
            <v>0</v>
          </cell>
          <cell r="P197">
            <v>0.30091324200913239</v>
          </cell>
          <cell r="Q197">
            <v>525625.78</v>
          </cell>
          <cell r="R197">
            <v>2695.5168205128207</v>
          </cell>
          <cell r="S197">
            <v>0</v>
          </cell>
          <cell r="T197">
            <v>7797008</v>
          </cell>
          <cell r="U197">
            <v>39984.656410256408</v>
          </cell>
          <cell r="V197">
            <v>14.83376252968414</v>
          </cell>
          <cell r="W197">
            <v>0</v>
          </cell>
          <cell r="X197">
            <v>0</v>
          </cell>
          <cell r="Y197">
            <v>0</v>
          </cell>
          <cell r="Z197" t="str">
            <v/>
          </cell>
          <cell r="AA197" t="str">
            <v/>
          </cell>
          <cell r="AB197" t="e">
            <v>#VALUE!</v>
          </cell>
          <cell r="AC197">
            <v>0</v>
          </cell>
          <cell r="AD197" t="str">
            <v>Не рассчитывалась</v>
          </cell>
          <cell r="AE197" t="str">
            <v>Не рассчитывалась</v>
          </cell>
          <cell r="AF197" t="e">
            <v>#VALUE!</v>
          </cell>
          <cell r="AG197">
            <v>195</v>
          </cell>
          <cell r="AH197" t="str">
            <v>не будет использоваться</v>
          </cell>
          <cell r="AI197" t="str">
            <v>возможно с оборудованием?</v>
          </cell>
          <cell r="AL197">
            <v>0</v>
          </cell>
          <cell r="AM197" t="str">
            <v>Не рассчитывалась</v>
          </cell>
        </row>
        <row r="198">
          <cell r="A198">
            <v>263</v>
          </cell>
          <cell r="B198">
            <v>594</v>
          </cell>
          <cell r="C198" t="str">
            <v>Мех,ток "Алмаз" (273)</v>
          </cell>
          <cell r="D198">
            <v>30665</v>
          </cell>
          <cell r="E198">
            <v>30665</v>
          </cell>
          <cell r="F198">
            <v>809935.17</v>
          </cell>
          <cell r="G198">
            <v>13.261762999999998</v>
          </cell>
          <cell r="H198">
            <v>403954.67</v>
          </cell>
          <cell r="I198">
            <v>32.065753424657537</v>
          </cell>
          <cell r="J198" t="str">
            <v>Металл</v>
          </cell>
          <cell r="K198">
            <v>0</v>
          </cell>
          <cell r="L198">
            <v>35</v>
          </cell>
          <cell r="M198">
            <v>0.8</v>
          </cell>
          <cell r="N198">
            <v>0</v>
          </cell>
          <cell r="O198">
            <v>0</v>
          </cell>
          <cell r="P198">
            <v>0.8</v>
          </cell>
          <cell r="Q198">
            <v>154967.57000000007</v>
          </cell>
          <cell r="R198">
            <v>1549.6757000000007</v>
          </cell>
          <cell r="S198" t="str">
            <v>Не соответствует</v>
          </cell>
          <cell r="T198">
            <v>80791</v>
          </cell>
          <cell r="U198">
            <v>807.91</v>
          </cell>
          <cell r="V198">
            <v>0.52134133612600342</v>
          </cell>
          <cell r="W198" t="str">
            <v>Соответствует</v>
          </cell>
          <cell r="X198">
            <v>0</v>
          </cell>
          <cell r="Y198">
            <v>0</v>
          </cell>
          <cell r="Z198" t="str">
            <v/>
          </cell>
          <cell r="AA198" t="str">
            <v/>
          </cell>
          <cell r="AB198" t="e">
            <v>#VALUE!</v>
          </cell>
          <cell r="AC198" t="str">
            <v>Не соответствует</v>
          </cell>
          <cell r="AD198" t="str">
            <v>Не рассчитывалась</v>
          </cell>
          <cell r="AE198" t="str">
            <v>Не рассчитывалась</v>
          </cell>
          <cell r="AF198" t="e">
            <v>#VALUE!</v>
          </cell>
          <cell r="AG198">
            <v>100</v>
          </cell>
          <cell r="AH198" t="str">
            <v>будет использоваться</v>
          </cell>
          <cell r="AI198" t="str">
            <v>Это механизированный зерноочистительный комплекс</v>
          </cell>
          <cell r="AJ198" t="str">
            <v>Фото не предоставлено. Уточнить физическое состояние.</v>
          </cell>
          <cell r="AL198">
            <v>80791</v>
          </cell>
          <cell r="AM198" t="str">
            <v>По сроку службы</v>
          </cell>
        </row>
        <row r="199">
          <cell r="A199">
            <v>264</v>
          </cell>
          <cell r="B199">
            <v>606</v>
          </cell>
          <cell r="C199" t="str">
            <v>Мехток БИС -100 (416) бр 4</v>
          </cell>
          <cell r="D199">
            <v>37970</v>
          </cell>
          <cell r="E199">
            <v>37970</v>
          </cell>
          <cell r="F199">
            <v>2173536.6800000002</v>
          </cell>
          <cell r="G199">
            <v>3.9624261943102521</v>
          </cell>
          <cell r="H199">
            <v>539333.32999999996</v>
          </cell>
          <cell r="I199">
            <v>12.052054794520547</v>
          </cell>
          <cell r="J199" t="str">
            <v>Металл</v>
          </cell>
          <cell r="K199">
            <v>0</v>
          </cell>
          <cell r="L199">
            <v>35</v>
          </cell>
          <cell r="M199">
            <v>0.34434442270058707</v>
          </cell>
          <cell r="N199">
            <v>0</v>
          </cell>
          <cell r="O199">
            <v>0</v>
          </cell>
          <cell r="P199">
            <v>0.34434442270058707</v>
          </cell>
          <cell r="Q199">
            <v>1100046.9200000002</v>
          </cell>
          <cell r="R199">
            <v>11000.469200000001</v>
          </cell>
          <cell r="S199" t="str">
            <v>Не соответствует</v>
          </cell>
          <cell r="T199">
            <v>353617</v>
          </cell>
          <cell r="U199">
            <v>3536.17</v>
          </cell>
          <cell r="V199">
            <v>0.32145628842813356</v>
          </cell>
          <cell r="W199" t="str">
            <v>Соответствует</v>
          </cell>
          <cell r="X199">
            <v>0</v>
          </cell>
          <cell r="Y199">
            <v>0</v>
          </cell>
          <cell r="Z199" t="str">
            <v/>
          </cell>
          <cell r="AA199" t="str">
            <v/>
          </cell>
          <cell r="AB199" t="e">
            <v>#VALUE!</v>
          </cell>
          <cell r="AC199" t="str">
            <v>Не соответствует</v>
          </cell>
          <cell r="AD199" t="str">
            <v>Не рассчитывалась</v>
          </cell>
          <cell r="AE199" t="str">
            <v>Не рассчитывалась</v>
          </cell>
          <cell r="AF199" t="e">
            <v>#VALUE!</v>
          </cell>
          <cell r="AG199">
            <v>100</v>
          </cell>
          <cell r="AH199" t="str">
            <v>будет использоваться</v>
          </cell>
          <cell r="AI199" t="str">
            <v>Это механизированный зерноочистительный комплекс</v>
          </cell>
          <cell r="AJ199" t="str">
            <v>Фото не предоставлено. Уточнить физическое состояние.</v>
          </cell>
          <cell r="AL199">
            <v>353617</v>
          </cell>
          <cell r="AM199" t="str">
            <v>По сроку службы</v>
          </cell>
        </row>
        <row r="200">
          <cell r="A200">
            <v>265</v>
          </cell>
          <cell r="B200">
            <v>398</v>
          </cell>
          <cell r="C200" t="str">
            <v>Мойка для а/машин (420) АТП</v>
          </cell>
          <cell r="D200">
            <v>26282</v>
          </cell>
          <cell r="E200">
            <v>26282</v>
          </cell>
          <cell r="F200">
            <v>8918</v>
          </cell>
          <cell r="G200">
            <v>13.261762999999998</v>
          </cell>
          <cell r="H200">
            <v>118268.40243399999</v>
          </cell>
          <cell r="I200">
            <v>44.073972602739723</v>
          </cell>
          <cell r="J200" t="str">
            <v>камень</v>
          </cell>
          <cell r="K200">
            <v>0</v>
          </cell>
          <cell r="L200">
            <v>60</v>
          </cell>
          <cell r="M200">
            <v>0.73456621004566203</v>
          </cell>
          <cell r="N200">
            <v>0</v>
          </cell>
          <cell r="O200">
            <v>0</v>
          </cell>
          <cell r="P200">
            <v>0.73456621004566203</v>
          </cell>
          <cell r="Q200">
            <v>0</v>
          </cell>
          <cell r="R200">
            <v>0</v>
          </cell>
          <cell r="S200" t="str">
            <v>Не соответствует</v>
          </cell>
          <cell r="T200">
            <v>31392</v>
          </cell>
          <cell r="U200">
            <v>6278.4</v>
          </cell>
          <cell r="V200" t="e">
            <v>#DIV/0!</v>
          </cell>
          <cell r="W200" t="str">
            <v>Соответствует</v>
          </cell>
          <cell r="X200">
            <v>0</v>
          </cell>
          <cell r="Y200">
            <v>0</v>
          </cell>
          <cell r="Z200" t="str">
            <v/>
          </cell>
          <cell r="AA200" t="str">
            <v/>
          </cell>
          <cell r="AB200" t="e">
            <v>#VALUE!</v>
          </cell>
          <cell r="AC200" t="str">
            <v>Не соответствует</v>
          </cell>
          <cell r="AD200" t="str">
            <v>Не рассчитывалась</v>
          </cell>
          <cell r="AE200" t="str">
            <v>Не рассчитывалась</v>
          </cell>
          <cell r="AF200" t="e">
            <v>#VALUE!</v>
          </cell>
          <cell r="AG200">
            <v>5</v>
          </cell>
          <cell r="AH200" t="str">
            <v>будет использоваться</v>
          </cell>
          <cell r="AI200">
            <v>0</v>
          </cell>
          <cell r="AJ200" t="str">
            <v>Фото не предоставлено. Уточнить наличие оборудования и физическое состояние. Чем обусловлена столь низкая балансовая стоимость 8 тыс. руб. за капитальную автомойку?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K200">
            <v>1</v>
          </cell>
          <cell r="AL200">
            <v>31392</v>
          </cell>
          <cell r="AM200" t="str">
            <v>По сроку службы</v>
          </cell>
        </row>
        <row r="201">
          <cell r="A201">
            <v>266</v>
          </cell>
          <cell r="B201">
            <v>408</v>
          </cell>
          <cell r="C201" t="str">
            <v>Навес весовой (199) ЦЗС   Литер з; з1</v>
          </cell>
          <cell r="D201">
            <v>22995</v>
          </cell>
          <cell r="E201">
            <v>22995</v>
          </cell>
          <cell r="F201">
            <v>1652</v>
          </cell>
          <cell r="G201">
            <v>13.261762999999998</v>
          </cell>
          <cell r="H201">
            <v>21908.432475999998</v>
          </cell>
          <cell r="I201">
            <v>53.079452054794523</v>
          </cell>
          <cell r="J201" t="str">
            <v>Камень</v>
          </cell>
          <cell r="K201">
            <v>0</v>
          </cell>
          <cell r="L201">
            <v>60</v>
          </cell>
          <cell r="M201">
            <v>0.8</v>
          </cell>
          <cell r="N201">
            <v>0</v>
          </cell>
          <cell r="O201">
            <v>0</v>
          </cell>
          <cell r="P201">
            <v>0.8</v>
          </cell>
          <cell r="Q201">
            <v>0</v>
          </cell>
          <cell r="R201">
            <v>0</v>
          </cell>
          <cell r="S201">
            <v>0</v>
          </cell>
          <cell r="T201">
            <v>4382</v>
          </cell>
          <cell r="U201">
            <v>219.1</v>
          </cell>
          <cell r="V201" t="e">
            <v>#DIV/0!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e">
            <v>#VALUE!</v>
          </cell>
          <cell r="AC201">
            <v>0</v>
          </cell>
          <cell r="AD201" t="str">
            <v>Не рассчитывалась</v>
          </cell>
          <cell r="AE201" t="str">
            <v>Не рассчитывалась</v>
          </cell>
          <cell r="AF201" t="e">
            <v>#VALUE!</v>
          </cell>
          <cell r="AG201">
            <v>20</v>
          </cell>
          <cell r="AH201" t="str">
            <v>не будет использоваться</v>
          </cell>
          <cell r="AI201">
            <v>0</v>
          </cell>
          <cell r="AL201">
            <v>0</v>
          </cell>
          <cell r="AM201" t="str">
            <v>Не рассчитывалась</v>
          </cell>
        </row>
        <row r="202">
          <cell r="A202">
            <v>267</v>
          </cell>
          <cell r="B202" t="str">
            <v>Ц00003766</v>
          </cell>
          <cell r="C202" t="str">
            <v>Навес для металла</v>
          </cell>
          <cell r="D202">
            <v>42003</v>
          </cell>
          <cell r="E202">
            <v>42003</v>
          </cell>
          <cell r="F202">
            <v>51140.08</v>
          </cell>
          <cell r="G202">
            <v>0.98663458968190321</v>
          </cell>
          <cell r="H202">
            <v>50456.571847099709</v>
          </cell>
          <cell r="I202">
            <v>1.0027397260273974</v>
          </cell>
          <cell r="J202" t="str">
            <v>Металл</v>
          </cell>
          <cell r="K202">
            <v>0</v>
          </cell>
          <cell r="L202">
            <v>35</v>
          </cell>
          <cell r="M202">
            <v>2.8649706457925639E-2</v>
          </cell>
          <cell r="N202">
            <v>0</v>
          </cell>
          <cell r="O202">
            <v>0</v>
          </cell>
          <cell r="P202">
            <v>2.8649706457925639E-2</v>
          </cell>
          <cell r="Q202">
            <v>47749.599999999999</v>
          </cell>
          <cell r="R202">
            <v>341.06857142857143</v>
          </cell>
          <cell r="S202" t="str">
            <v>Соответствует</v>
          </cell>
          <cell r="T202">
            <v>49011</v>
          </cell>
          <cell r="U202">
            <v>350.07857142857142</v>
          </cell>
          <cell r="V202">
            <v>1.0264169752207348</v>
          </cell>
          <cell r="W202" t="str">
            <v>Соответствует</v>
          </cell>
          <cell r="X202">
            <v>0</v>
          </cell>
          <cell r="Y202">
            <v>0</v>
          </cell>
          <cell r="Z202" t="str">
            <v/>
          </cell>
          <cell r="AA202" t="str">
            <v/>
          </cell>
          <cell r="AB202" t="e">
            <v>#VALUE!</v>
          </cell>
          <cell r="AC202" t="str">
            <v>Не рассчитывалась</v>
          </cell>
          <cell r="AD202" t="str">
            <v>Не рассчитывалась</v>
          </cell>
          <cell r="AE202" t="str">
            <v>Не рассчитывалась</v>
          </cell>
          <cell r="AF202" t="e">
            <v>#VALUE!</v>
          </cell>
          <cell r="AG202">
            <v>140</v>
          </cell>
          <cell r="AH202">
            <v>0</v>
          </cell>
          <cell r="AI202">
            <v>0</v>
          </cell>
          <cell r="AJ20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2">
            <v>49011</v>
          </cell>
          <cell r="AM202" t="str">
            <v>По сроку службы</v>
          </cell>
        </row>
        <row r="203">
          <cell r="A203">
            <v>268</v>
          </cell>
          <cell r="B203" t="str">
            <v>Ц00003378</v>
          </cell>
          <cell r="C203" t="str">
            <v>Навес для хранения зерна бр№1 (КС МТФ№1)</v>
          </cell>
          <cell r="D203">
            <v>41913</v>
          </cell>
          <cell r="E203">
            <v>41913</v>
          </cell>
          <cell r="F203">
            <v>25490.22</v>
          </cell>
          <cell r="G203">
            <v>0.98663458968190321</v>
          </cell>
          <cell r="H203">
            <v>25149.532750601444</v>
          </cell>
          <cell r="I203">
            <v>1.2493150684931507</v>
          </cell>
          <cell r="J203" t="str">
            <v>Металл</v>
          </cell>
          <cell r="K203">
            <v>0</v>
          </cell>
          <cell r="L203">
            <v>35</v>
          </cell>
          <cell r="M203">
            <v>3.5694716242661448E-2</v>
          </cell>
          <cell r="N203">
            <v>0</v>
          </cell>
          <cell r="O203">
            <v>0</v>
          </cell>
          <cell r="P203">
            <v>3.5694716242661406E-2</v>
          </cell>
          <cell r="Q203">
            <v>21291.9</v>
          </cell>
          <cell r="R203">
            <v>44.358125000000001</v>
          </cell>
          <cell r="S203" t="str">
            <v>Соответствует</v>
          </cell>
          <cell r="T203">
            <v>24252</v>
          </cell>
          <cell r="U203">
            <v>50.524999999999999</v>
          </cell>
          <cell r="V203">
            <v>1.1390246995336253</v>
          </cell>
          <cell r="W203" t="str">
            <v>Соответствует</v>
          </cell>
          <cell r="X203">
            <v>0</v>
          </cell>
          <cell r="Y203">
            <v>0</v>
          </cell>
          <cell r="Z203" t="str">
            <v/>
          </cell>
          <cell r="AA203" t="str">
            <v/>
          </cell>
          <cell r="AB203" t="e">
            <v>#VALUE!</v>
          </cell>
          <cell r="AC203" t="str">
            <v>Не рассчитывалась</v>
          </cell>
          <cell r="AD203" t="str">
            <v>Не рассчитывалась</v>
          </cell>
          <cell r="AE203" t="str">
            <v>Не рассчитывалась</v>
          </cell>
          <cell r="AF203" t="e">
            <v>#VALUE!</v>
          </cell>
          <cell r="AG203">
            <v>480</v>
          </cell>
          <cell r="AH203">
            <v>0</v>
          </cell>
          <cell r="AI203" t="str">
            <v>Уточнить состояние по фото</v>
          </cell>
          <cell r="AJ20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3">
            <v>24252</v>
          </cell>
          <cell r="AM203" t="str">
            <v>По сроку службы</v>
          </cell>
        </row>
        <row r="204">
          <cell r="A204">
            <v>270</v>
          </cell>
          <cell r="B204" t="str">
            <v>Ц00002387</v>
          </cell>
          <cell r="C204" t="str">
            <v>Навозохранилище №1 об.пл.-1357,2кв.м. Об.3257,28 куб.м. Кад№ 23:24:0701000:805 Лит Ф  (НП  МТФ№2)</v>
          </cell>
          <cell r="D204">
            <v>41935</v>
          </cell>
          <cell r="E204">
            <v>41935</v>
          </cell>
          <cell r="F204">
            <v>2304321.84</v>
          </cell>
          <cell r="G204">
            <v>0.98663458968190321</v>
          </cell>
          <cell r="H204">
            <v>2273523.633103448</v>
          </cell>
          <cell r="I204">
            <v>1.189041095890411</v>
          </cell>
          <cell r="J204" t="str">
            <v>бетонное</v>
          </cell>
          <cell r="K204">
            <v>0</v>
          </cell>
          <cell r="L204">
            <v>50</v>
          </cell>
          <cell r="M204">
            <v>2.3780821917808219E-2</v>
          </cell>
          <cell r="N204">
            <v>0</v>
          </cell>
          <cell r="O204">
            <v>0</v>
          </cell>
          <cell r="P204">
            <v>2.378082191780817E-2</v>
          </cell>
          <cell r="Q204">
            <v>1924786.46</v>
          </cell>
          <cell r="R204">
            <v>1418.2039935160624</v>
          </cell>
          <cell r="S204" t="str">
            <v>Соответствует</v>
          </cell>
          <cell r="T204">
            <v>2219457</v>
          </cell>
          <cell r="U204">
            <v>1635.3205128205127</v>
          </cell>
          <cell r="V204">
            <v>1.1530925877356806</v>
          </cell>
          <cell r="W204" t="str">
            <v>Соответствует</v>
          </cell>
          <cell r="X204">
            <v>0</v>
          </cell>
          <cell r="Y204">
            <v>0</v>
          </cell>
          <cell r="Z204" t="str">
            <v/>
          </cell>
          <cell r="AA204" t="str">
            <v/>
          </cell>
          <cell r="AB204" t="e">
            <v>#VALUE!</v>
          </cell>
          <cell r="AC204" t="str">
            <v>Не рассчитывалась</v>
          </cell>
          <cell r="AD204" t="str">
            <v>Не рассчитывалась</v>
          </cell>
          <cell r="AE204" t="str">
            <v>Не рассчитывалась</v>
          </cell>
          <cell r="AF204" t="e">
            <v>#VALUE!</v>
          </cell>
          <cell r="AG204">
            <v>1357.2</v>
          </cell>
          <cell r="AH204">
            <v>0</v>
          </cell>
          <cell r="AI204">
            <v>0</v>
          </cell>
          <cell r="AJ20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4">
            <v>2219457</v>
          </cell>
          <cell r="AM204" t="str">
            <v>По сроку службы</v>
          </cell>
        </row>
        <row r="205">
          <cell r="A205">
            <v>272</v>
          </cell>
          <cell r="B205" t="str">
            <v>Ц00002399</v>
          </cell>
          <cell r="C205" t="str">
            <v>Навозохранилище №2 об.пл.-800,4кв.м. Об. 800,4 куб.м Кад№ 23:24:0701000:818 Лит Х (НП  МТФ№2)</v>
          </cell>
          <cell r="D205">
            <v>41935</v>
          </cell>
          <cell r="E205">
            <v>41935</v>
          </cell>
          <cell r="F205">
            <v>1348311.02</v>
          </cell>
          <cell r="G205">
            <v>0.98663458968190321</v>
          </cell>
          <cell r="H205">
            <v>1330290.2899812884</v>
          </cell>
          <cell r="I205">
            <v>1.189041095890411</v>
          </cell>
          <cell r="J205" t="str">
            <v>бетонное</v>
          </cell>
          <cell r="K205">
            <v>0</v>
          </cell>
          <cell r="L205">
            <v>50</v>
          </cell>
          <cell r="M205">
            <v>2.3780821917808219E-2</v>
          </cell>
          <cell r="N205">
            <v>0</v>
          </cell>
          <cell r="O205">
            <v>0</v>
          </cell>
          <cell r="P205">
            <v>2.378082191780817E-2</v>
          </cell>
          <cell r="Q205">
            <v>1126236.3</v>
          </cell>
          <cell r="R205">
            <v>1407.0918290854574</v>
          </cell>
          <cell r="S205" t="str">
            <v>Соответствует</v>
          </cell>
          <cell r="T205">
            <v>1298655</v>
          </cell>
          <cell r="U205">
            <v>1622.507496251874</v>
          </cell>
          <cell r="V205">
            <v>1.1530928278550425</v>
          </cell>
          <cell r="W205" t="str">
            <v>Соответствует</v>
          </cell>
          <cell r="X205">
            <v>0</v>
          </cell>
          <cell r="Y205">
            <v>0</v>
          </cell>
          <cell r="Z205" t="str">
            <v/>
          </cell>
          <cell r="AA205" t="str">
            <v/>
          </cell>
          <cell r="AB205" t="e">
            <v>#VALUE!</v>
          </cell>
          <cell r="AC205" t="str">
            <v>Не рассчитывалась</v>
          </cell>
          <cell r="AD205" t="str">
            <v>Не рассчитывалась</v>
          </cell>
          <cell r="AE205" t="str">
            <v>Не рассчитывалась</v>
          </cell>
          <cell r="AF205" t="e">
            <v>#VALUE!</v>
          </cell>
          <cell r="AG205">
            <v>800.4</v>
          </cell>
          <cell r="AH205">
            <v>0</v>
          </cell>
          <cell r="AI205">
            <v>0</v>
          </cell>
          <cell r="AJ20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5">
            <v>1298655</v>
          </cell>
          <cell r="AM205" t="str">
            <v>По сроку службы</v>
          </cell>
        </row>
        <row r="206">
          <cell r="A206">
            <v>274</v>
          </cell>
          <cell r="B206" t="str">
            <v>Ц00002407</v>
          </cell>
          <cell r="C206" t="str">
            <v>Навозохранилище №3 об.пл.-1338,9кв.м. Кад№ 23:24:0701000:802 Литер Ц (НП  МТФ№2)</v>
          </cell>
          <cell r="D206">
            <v>41935</v>
          </cell>
          <cell r="E206">
            <v>41935</v>
          </cell>
          <cell r="F206">
            <v>2237760.4</v>
          </cell>
          <cell r="G206">
            <v>0.98663458968190321</v>
          </cell>
          <cell r="H206">
            <v>2207851.8140604114</v>
          </cell>
          <cell r="I206">
            <v>1.189041095890411</v>
          </cell>
          <cell r="J206" t="str">
            <v>бетонное</v>
          </cell>
          <cell r="K206">
            <v>0</v>
          </cell>
          <cell r="L206">
            <v>50</v>
          </cell>
          <cell r="M206">
            <v>2.3780821917808219E-2</v>
          </cell>
          <cell r="N206">
            <v>0</v>
          </cell>
          <cell r="O206">
            <v>0</v>
          </cell>
          <cell r="P206">
            <v>2.378082191780817E-2</v>
          </cell>
          <cell r="Q206">
            <v>1869188.14</v>
          </cell>
          <cell r="R206">
            <v>1396.0625438793038</v>
          </cell>
          <cell r="S206" t="str">
            <v>Соответствует</v>
          </cell>
          <cell r="T206">
            <v>2155347</v>
          </cell>
          <cell r="U206">
            <v>1609.7893793412502</v>
          </cell>
          <cell r="V206">
            <v>1.1530925934507588</v>
          </cell>
          <cell r="W206" t="str">
            <v>Соответствует</v>
          </cell>
          <cell r="X206">
            <v>0</v>
          </cell>
          <cell r="Y206">
            <v>0</v>
          </cell>
          <cell r="Z206" t="str">
            <v/>
          </cell>
          <cell r="AA206" t="str">
            <v/>
          </cell>
          <cell r="AB206" t="e">
            <v>#VALUE!</v>
          </cell>
          <cell r="AC206" t="str">
            <v>Не рассчитывалась</v>
          </cell>
          <cell r="AD206" t="str">
            <v>Не рассчитывалась</v>
          </cell>
          <cell r="AE206" t="str">
            <v>Не рассчитывалась</v>
          </cell>
          <cell r="AF206" t="e">
            <v>#VALUE!</v>
          </cell>
          <cell r="AG206">
            <v>1338.9</v>
          </cell>
          <cell r="AH206">
            <v>0</v>
          </cell>
          <cell r="AI206">
            <v>0</v>
          </cell>
          <cell r="AJ20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6">
            <v>2155347</v>
          </cell>
          <cell r="AM206" t="str">
            <v>По сроку службы</v>
          </cell>
        </row>
        <row r="207">
          <cell r="A207">
            <v>276</v>
          </cell>
          <cell r="B207">
            <v>585</v>
          </cell>
          <cell r="C207" t="str">
            <v>Навозохранилище МТФ №4 Объем 7289 куб.м. Литер Г  Кад№ 23:11:0702000:901</v>
          </cell>
          <cell r="D207">
            <v>29570</v>
          </cell>
          <cell r="E207">
            <v>29570</v>
          </cell>
          <cell r="F207">
            <v>626214.1</v>
          </cell>
          <cell r="G207">
            <v>13.261762999999998</v>
          </cell>
          <cell r="H207">
            <v>8304702.9814582989</v>
          </cell>
          <cell r="I207">
            <v>35.065753424657537</v>
          </cell>
          <cell r="J207" t="str">
            <v>бетонное</v>
          </cell>
          <cell r="K207">
            <v>0</v>
          </cell>
          <cell r="L207">
            <v>50</v>
          </cell>
          <cell r="M207">
            <v>0.70131506849315073</v>
          </cell>
          <cell r="N207">
            <v>0</v>
          </cell>
          <cell r="O207">
            <v>0</v>
          </cell>
          <cell r="P207">
            <v>0.70131506849315073</v>
          </cell>
          <cell r="Q207">
            <v>0</v>
          </cell>
          <cell r="R207" t="e">
            <v>#VALUE!</v>
          </cell>
          <cell r="S207" t="str">
            <v>Не соответствует</v>
          </cell>
          <cell r="T207">
            <v>2480490</v>
          </cell>
          <cell r="U207" t="e">
            <v>#VALUE!</v>
          </cell>
          <cell r="V207" t="e">
            <v>#DIV/0!</v>
          </cell>
          <cell r="W207" t="str">
            <v>Соответствует</v>
          </cell>
          <cell r="X207">
            <v>0</v>
          </cell>
          <cell r="Y207">
            <v>0</v>
          </cell>
          <cell r="Z207" t="str">
            <v/>
          </cell>
          <cell r="AA207" t="str">
            <v/>
          </cell>
          <cell r="AB207" t="e">
            <v>#VALUE!</v>
          </cell>
          <cell r="AC207" t="str">
            <v>Не рассчитывалась</v>
          </cell>
          <cell r="AD207" t="str">
            <v>Не рассчитывалась</v>
          </cell>
          <cell r="AE207" t="str">
            <v>Не рассчитывалась</v>
          </cell>
          <cell r="AF207" t="e">
            <v>#VALUE!</v>
          </cell>
          <cell r="AG207" t="str">
            <v>объем: 7289 куб.м.</v>
          </cell>
          <cell r="AH207" t="str">
            <v>будет использоваться</v>
          </cell>
          <cell r="AI207">
            <v>0</v>
          </cell>
          <cell r="AJ20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07">
            <v>2480490</v>
          </cell>
          <cell r="AM207" t="str">
            <v>По сроку службы</v>
          </cell>
        </row>
        <row r="208">
          <cell r="A208">
            <v>277</v>
          </cell>
          <cell r="B208" t="str">
            <v>Ц00003362</v>
          </cell>
          <cell r="C208" t="str">
            <v>Навозохранилище на 2000 т (КС МТФ№1)</v>
          </cell>
          <cell r="D208">
            <v>41913</v>
          </cell>
          <cell r="E208">
            <v>41913</v>
          </cell>
          <cell r="F208">
            <v>23944.7</v>
          </cell>
          <cell r="G208">
            <v>0.98663458968190321</v>
          </cell>
          <cell r="H208">
            <v>23624.669259556267</v>
          </cell>
          <cell r="I208">
            <v>1.2493150684931507</v>
          </cell>
          <cell r="J208" t="str">
            <v>бетонное</v>
          </cell>
          <cell r="K208">
            <v>0</v>
          </cell>
          <cell r="L208">
            <v>50</v>
          </cell>
          <cell r="M208">
            <v>2.4986301369863014E-2</v>
          </cell>
          <cell r="N208">
            <v>0</v>
          </cell>
          <cell r="O208">
            <v>0</v>
          </cell>
          <cell r="P208">
            <v>2.4986301369863018E-2</v>
          </cell>
          <cell r="Q208">
            <v>20000.900000000001</v>
          </cell>
          <cell r="R208">
            <v>28.410369318181822</v>
          </cell>
          <cell r="S208" t="str">
            <v>Не соответствует</v>
          </cell>
          <cell r="T208">
            <v>23034</v>
          </cell>
          <cell r="U208">
            <v>32.71875</v>
          </cell>
          <cell r="V208">
            <v>1.1516481758320876</v>
          </cell>
          <cell r="W208" t="str">
            <v>Не соответствует</v>
          </cell>
          <cell r="X208">
            <v>0</v>
          </cell>
          <cell r="Y208">
            <v>0</v>
          </cell>
          <cell r="Z208" t="str">
            <v/>
          </cell>
          <cell r="AA208" t="str">
            <v/>
          </cell>
          <cell r="AB208" t="e">
            <v>#VALUE!</v>
          </cell>
          <cell r="AC208" t="str">
            <v>Не рассчитывалась</v>
          </cell>
          <cell r="AD208">
            <v>4424633</v>
          </cell>
          <cell r="AE208">
            <v>6284.990056818182</v>
          </cell>
          <cell r="AF208">
            <v>221.22169502372392</v>
          </cell>
          <cell r="AG208">
            <v>704</v>
          </cell>
          <cell r="AH208">
            <v>0</v>
          </cell>
          <cell r="AI208" t="str">
            <v>Уточнить состояние по фото</v>
          </cell>
          <cell r="AJ208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08">
            <v>1</v>
          </cell>
          <cell r="AL208">
            <v>4424633</v>
          </cell>
          <cell r="AM208" t="str">
            <v>Ко-Инвест</v>
          </cell>
        </row>
        <row r="209">
          <cell r="A209">
            <v>278</v>
          </cell>
          <cell r="B209" t="str">
            <v>Ц00005222</v>
          </cell>
          <cell r="C209" t="str">
            <v>Навозохранилище Об.пл. 6078 кв.м. МТФ№3   Кад№ 23:11:0702000:900</v>
          </cell>
          <cell r="D209">
            <v>42339</v>
          </cell>
          <cell r="E209">
            <v>42339</v>
          </cell>
          <cell r="F209">
            <v>1500000</v>
          </cell>
          <cell r="G209">
            <v>1</v>
          </cell>
          <cell r="H209">
            <v>1500000</v>
          </cell>
          <cell r="I209">
            <v>8.2191780821917804E-2</v>
          </cell>
          <cell r="J209" t="str">
            <v>железобетон</v>
          </cell>
          <cell r="K209">
            <v>0</v>
          </cell>
          <cell r="L209">
            <v>50</v>
          </cell>
          <cell r="M209">
            <v>1.643835616438356E-3</v>
          </cell>
          <cell r="N209">
            <v>0</v>
          </cell>
          <cell r="O209">
            <v>0</v>
          </cell>
          <cell r="P209">
            <v>1.6438356164383272E-3</v>
          </cell>
          <cell r="Q209">
            <v>1500000</v>
          </cell>
          <cell r="R209">
            <v>246.79170779861798</v>
          </cell>
          <cell r="S209" t="str">
            <v>Соответствует</v>
          </cell>
          <cell r="T209">
            <v>1497534</v>
          </cell>
          <cell r="U209">
            <v>246.38598223099703</v>
          </cell>
          <cell r="V209">
            <v>0.99835600000000002</v>
          </cell>
          <cell r="W209" t="str">
            <v>Соответствует</v>
          </cell>
          <cell r="X209">
            <v>0</v>
          </cell>
          <cell r="Y209">
            <v>0</v>
          </cell>
          <cell r="Z209" t="str">
            <v/>
          </cell>
          <cell r="AA209" t="str">
            <v/>
          </cell>
          <cell r="AB209" t="e">
            <v>#VALUE!</v>
          </cell>
          <cell r="AC209" t="str">
            <v>Не рассчитывалась</v>
          </cell>
          <cell r="AD209">
            <v>96265581</v>
          </cell>
          <cell r="AE209">
            <v>15838.364758144126</v>
          </cell>
          <cell r="AF209">
            <v>64.177053999999998</v>
          </cell>
          <cell r="AG209">
            <v>6078</v>
          </cell>
          <cell r="AH209">
            <v>0</v>
          </cell>
          <cell r="AI209">
            <v>0</v>
          </cell>
          <cell r="AJ209" t="str">
            <v>Фото не предоставлено. Чем обусловлена столь низкая балансовая стоимость 1,5 млн. руб. за ж/б навозохранилище площадью 6078 кв. м?</v>
          </cell>
          <cell r="AK209">
            <v>1</v>
          </cell>
          <cell r="AL209">
            <v>1497534</v>
          </cell>
          <cell r="AM209" t="str">
            <v>По сроку службы</v>
          </cell>
        </row>
        <row r="210">
          <cell r="A210">
            <v>279</v>
          </cell>
          <cell r="B210" t="str">
            <v>Ц00005223</v>
          </cell>
          <cell r="C210" t="str">
            <v>Навозохранилище Объем 18632  м.куб. МТФ №4(1)   Кад№ 23:11:0702004:45</v>
          </cell>
          <cell r="D210">
            <v>42339</v>
          </cell>
          <cell r="E210">
            <v>42339</v>
          </cell>
          <cell r="F210">
            <v>200000</v>
          </cell>
          <cell r="G210">
            <v>1</v>
          </cell>
          <cell r="H210">
            <v>200000</v>
          </cell>
          <cell r="I210">
            <v>8.2191780821917804E-2</v>
          </cell>
          <cell r="J210" t="str">
            <v>железобетон</v>
          </cell>
          <cell r="K210">
            <v>0</v>
          </cell>
          <cell r="L210">
            <v>50</v>
          </cell>
          <cell r="M210">
            <v>1.643835616438356E-3</v>
          </cell>
          <cell r="N210">
            <v>0</v>
          </cell>
          <cell r="O210">
            <v>0</v>
          </cell>
          <cell r="P210">
            <v>1.6438356164383272E-3</v>
          </cell>
          <cell r="Q210">
            <v>200000</v>
          </cell>
          <cell r="R210">
            <v>42.936882782310008</v>
          </cell>
          <cell r="S210" t="str">
            <v>Соответствует</v>
          </cell>
          <cell r="T210">
            <v>199671</v>
          </cell>
          <cell r="U210">
            <v>42.866251610133105</v>
          </cell>
          <cell r="V210">
            <v>0.99835499999999999</v>
          </cell>
          <cell r="W210" t="str">
            <v>Соответствует</v>
          </cell>
          <cell r="X210">
            <v>0</v>
          </cell>
          <cell r="Y210">
            <v>0</v>
          </cell>
          <cell r="Z210" t="str">
            <v/>
          </cell>
          <cell r="AA210" t="str">
            <v/>
          </cell>
          <cell r="AB210" t="e">
            <v>#VALUE!</v>
          </cell>
          <cell r="AC210" t="str">
            <v>Не рассчитывалась</v>
          </cell>
          <cell r="AD210">
            <v>73774937</v>
          </cell>
          <cell r="AE210">
            <v>15838.329111206527</v>
          </cell>
          <cell r="AF210">
            <v>368.874685</v>
          </cell>
          <cell r="AG210">
            <v>4658</v>
          </cell>
          <cell r="AH210">
            <v>0</v>
          </cell>
          <cell r="AI210">
            <v>0</v>
          </cell>
          <cell r="AJ210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0">
            <v>1</v>
          </cell>
          <cell r="AL210">
            <v>199671</v>
          </cell>
          <cell r="AM210" t="str">
            <v>По сроку службы</v>
          </cell>
        </row>
        <row r="211">
          <cell r="A211">
            <v>280</v>
          </cell>
          <cell r="B211" t="str">
            <v>Ц00005221</v>
          </cell>
          <cell r="C211" t="str">
            <v>Навозохранилище Объем 20000 м.куб. МТФ №5   Кад№ 23:11:0702000:905</v>
          </cell>
          <cell r="D211">
            <v>42339</v>
          </cell>
          <cell r="E211">
            <v>42339</v>
          </cell>
          <cell r="F211">
            <v>2000000</v>
          </cell>
          <cell r="G211">
            <v>1</v>
          </cell>
          <cell r="H211">
            <v>2000000</v>
          </cell>
          <cell r="I211">
            <v>8.2191780821917804E-2</v>
          </cell>
          <cell r="J211" t="str">
            <v>железо-бетон</v>
          </cell>
          <cell r="K211">
            <v>0</v>
          </cell>
          <cell r="L211">
            <v>50</v>
          </cell>
          <cell r="M211">
            <v>1.643835616438356E-3</v>
          </cell>
          <cell r="N211">
            <v>0</v>
          </cell>
          <cell r="O211">
            <v>0</v>
          </cell>
          <cell r="P211">
            <v>1.6438356164383272E-3</v>
          </cell>
          <cell r="Q211">
            <v>2000000</v>
          </cell>
          <cell r="R211">
            <v>400</v>
          </cell>
          <cell r="S211" t="str">
            <v>Соответствует</v>
          </cell>
          <cell r="T211">
            <v>1996712</v>
          </cell>
          <cell r="U211">
            <v>399.3424</v>
          </cell>
          <cell r="V211">
            <v>0.99835600000000002</v>
          </cell>
          <cell r="W211" t="str">
            <v>Соответствует</v>
          </cell>
          <cell r="X211">
            <v>0</v>
          </cell>
          <cell r="Y211">
            <v>0</v>
          </cell>
          <cell r="Z211" t="str">
            <v/>
          </cell>
          <cell r="AA211" t="str">
            <v/>
          </cell>
          <cell r="AB211" t="e">
            <v>#VALUE!</v>
          </cell>
          <cell r="AC211" t="str">
            <v>Не рассчитывалась</v>
          </cell>
          <cell r="AD211">
            <v>79192371</v>
          </cell>
          <cell r="AE211">
            <v>15838.474200000001</v>
          </cell>
          <cell r="AF211">
            <v>39.596185499999997</v>
          </cell>
          <cell r="AG211">
            <v>5000</v>
          </cell>
          <cell r="AH211">
            <v>0</v>
          </cell>
          <cell r="AI211">
            <v>0</v>
          </cell>
          <cell r="AJ211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1">
            <v>1</v>
          </cell>
          <cell r="AL211">
            <v>1996712</v>
          </cell>
          <cell r="AM211" t="str">
            <v>По сроку службы</v>
          </cell>
        </row>
        <row r="212">
          <cell r="A212">
            <v>282</v>
          </cell>
          <cell r="B212" t="str">
            <v>Ц00003203</v>
          </cell>
          <cell r="C212" t="str">
            <v>Наружные сети водопровода и канализации   (НП МТФ№2)</v>
          </cell>
          <cell r="D212">
            <v>41913</v>
          </cell>
          <cell r="E212">
            <v>41913</v>
          </cell>
          <cell r="F212">
            <v>134857.75</v>
          </cell>
          <cell r="G212">
            <v>0.98663458968190321</v>
          </cell>
          <cell r="H212">
            <v>133055.32083667468</v>
          </cell>
          <cell r="I212">
            <v>1.2493150684931507</v>
          </cell>
          <cell r="J212" t="str">
            <v>труба железная</v>
          </cell>
          <cell r="K212">
            <v>0</v>
          </cell>
          <cell r="L212">
            <v>15</v>
          </cell>
          <cell r="M212">
            <v>8.3287671232876712E-2</v>
          </cell>
          <cell r="N212">
            <v>0</v>
          </cell>
          <cell r="O212">
            <v>0</v>
          </cell>
          <cell r="P212">
            <v>8.3287671232876725E-2</v>
          </cell>
          <cell r="Q212">
            <v>124426.77</v>
          </cell>
          <cell r="R212" t="e">
            <v>#DIV/0!</v>
          </cell>
          <cell r="S212" t="str">
            <v>Соответствует</v>
          </cell>
          <cell r="T212">
            <v>121973</v>
          </cell>
          <cell r="U212" t="e">
            <v>#DIV/0!</v>
          </cell>
          <cell r="V212">
            <v>0.98027940450435225</v>
          </cell>
          <cell r="W212" t="str">
            <v>Соответствует</v>
          </cell>
          <cell r="X212">
            <v>0</v>
          </cell>
          <cell r="Y212">
            <v>0</v>
          </cell>
          <cell r="Z212" t="str">
            <v/>
          </cell>
          <cell r="AA212" t="str">
            <v/>
          </cell>
          <cell r="AB212" t="e">
            <v>#VALUE!</v>
          </cell>
          <cell r="AC212" t="str">
            <v>Не рассчитывалась</v>
          </cell>
          <cell r="AD212">
            <v>380131</v>
          </cell>
          <cell r="AE212" t="str">
            <v>Не рассчитывалась</v>
          </cell>
          <cell r="AF212">
            <v>3.0550580072117919</v>
          </cell>
          <cell r="AG212">
            <v>0</v>
          </cell>
          <cell r="AH212">
            <v>0</v>
          </cell>
          <cell r="AI212">
            <v>0</v>
          </cell>
          <cell r="AJ21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2">
            <v>121973</v>
          </cell>
          <cell r="AM212" t="str">
            <v>По сроку службы</v>
          </cell>
        </row>
        <row r="213">
          <cell r="A213">
            <v>283</v>
          </cell>
          <cell r="B213" t="str">
            <v>Р00010146</v>
          </cell>
          <cell r="C213" t="str">
            <v xml:space="preserve">Насосная станция №5 (тер. МТФ№5) </v>
          </cell>
          <cell r="D213">
            <v>41633</v>
          </cell>
          <cell r="E213">
            <v>41633</v>
          </cell>
          <cell r="F213">
            <v>4563492.13</v>
          </cell>
          <cell r="G213">
            <v>1.0161046111493461</v>
          </cell>
          <cell r="H213">
            <v>4636985.3962367512</v>
          </cell>
          <cell r="I213">
            <v>2.0164383561643837</v>
          </cell>
          <cell r="J213" t="str">
            <v>металл</v>
          </cell>
          <cell r="K213">
            <v>0</v>
          </cell>
          <cell r="L213">
            <v>35</v>
          </cell>
          <cell r="M213">
            <v>5.7612524461839537E-2</v>
          </cell>
          <cell r="N213">
            <v>0</v>
          </cell>
          <cell r="O213">
            <v>0</v>
          </cell>
          <cell r="P213">
            <v>5.7612524461839509E-2</v>
          </cell>
          <cell r="Q213">
            <v>1603389.0099999998</v>
          </cell>
          <cell r="R213">
            <v>64135.560399999988</v>
          </cell>
          <cell r="S213" t="str">
            <v>Не соответствует</v>
          </cell>
          <cell r="T213">
            <v>4369837</v>
          </cell>
          <cell r="U213">
            <v>174793.48</v>
          </cell>
          <cell r="V213">
            <v>2.7253754221503619</v>
          </cell>
          <cell r="W213" t="str">
            <v>Не соответствует</v>
          </cell>
          <cell r="X213">
            <v>0</v>
          </cell>
          <cell r="Y213">
            <v>0</v>
          </cell>
          <cell r="Z213" t="str">
            <v/>
          </cell>
          <cell r="AA213" t="str">
            <v/>
          </cell>
          <cell r="AB213" t="e">
            <v>#VALUE!</v>
          </cell>
          <cell r="AC213" t="str">
            <v>Не рассчитывалась</v>
          </cell>
          <cell r="AD213">
            <v>369113</v>
          </cell>
          <cell r="AE213">
            <v>14764.52</v>
          </cell>
          <cell r="AF213">
            <v>0.23020801421109907</v>
          </cell>
          <cell r="AG213">
            <v>25</v>
          </cell>
          <cell r="AH213" t="str">
            <v>будет использоваться</v>
          </cell>
          <cell r="AI213" t="str">
            <v>возможно с оборудованием?</v>
          </cell>
          <cell r="AJ213" t="str">
            <v>Фото не предоставлено. Уточнить учет оборудования в балансовой стоимости. Расчет по Ко-Инвесту</v>
          </cell>
          <cell r="AK213">
            <v>1</v>
          </cell>
          <cell r="AL213">
            <v>369113</v>
          </cell>
          <cell r="AM213" t="str">
            <v>Ко-Инвест</v>
          </cell>
        </row>
        <row r="214">
          <cell r="A214">
            <v>285</v>
          </cell>
          <cell r="B214" t="str">
            <v>Ц00002282</v>
          </cell>
          <cell r="C214" t="str">
            <v>Нежилое здание Об.пл. 163,6кв.м.(Площ. для пригот.кормосмеси) Кад№ 23:24:0701000:794 ЛитР(НП  МТФ№2)</v>
          </cell>
          <cell r="D214">
            <v>41935</v>
          </cell>
          <cell r="E214">
            <v>41935</v>
          </cell>
          <cell r="F214">
            <v>705155.92</v>
          </cell>
          <cell r="G214">
            <v>0.98663458968190321</v>
          </cell>
          <cell r="H214">
            <v>695731.22179096495</v>
          </cell>
          <cell r="I214">
            <v>1.189041095890411</v>
          </cell>
          <cell r="J214" t="str">
            <v>монолитный железобетон, металлопрофиль</v>
          </cell>
          <cell r="K214">
            <v>0</v>
          </cell>
          <cell r="L214">
            <v>35</v>
          </cell>
          <cell r="M214">
            <v>3.3972602739726028E-2</v>
          </cell>
          <cell r="N214">
            <v>0</v>
          </cell>
          <cell r="O214">
            <v>0</v>
          </cell>
          <cell r="P214">
            <v>3.3972602739726021E-2</v>
          </cell>
          <cell r="Q214">
            <v>650613.46000000008</v>
          </cell>
          <cell r="R214">
            <v>3976.8548899755506</v>
          </cell>
          <cell r="S214" t="str">
            <v>Соответствует</v>
          </cell>
          <cell r="T214">
            <v>672095</v>
          </cell>
          <cell r="U214">
            <v>4108.160146699267</v>
          </cell>
          <cell r="V214">
            <v>1.0330173617988165</v>
          </cell>
          <cell r="W214" t="str">
            <v>Соответствует</v>
          </cell>
          <cell r="X214" t="str">
            <v>отличное</v>
          </cell>
          <cell r="Y214">
            <v>0.1</v>
          </cell>
          <cell r="Z214">
            <v>626158.0996118685</v>
          </cell>
          <cell r="AA214">
            <v>3827.3722470163111</v>
          </cell>
          <cell r="AB214">
            <v>0.96241184375722633</v>
          </cell>
          <cell r="AC214" t="str">
            <v>Соответствует</v>
          </cell>
          <cell r="AD214" t="str">
            <v>Не рассчитывалась</v>
          </cell>
          <cell r="AE214" t="str">
            <v>Не рассчитывалась</v>
          </cell>
          <cell r="AF214" t="e">
            <v>#VALUE!</v>
          </cell>
          <cell r="AG214">
            <v>163.6</v>
          </cell>
          <cell r="AH214">
            <v>0</v>
          </cell>
          <cell r="AI214">
            <v>0</v>
          </cell>
          <cell r="AL214">
            <v>672095</v>
          </cell>
          <cell r="AM214" t="str">
            <v>По сроку службы</v>
          </cell>
        </row>
        <row r="215">
          <cell r="A215">
            <v>286</v>
          </cell>
          <cell r="B215">
            <v>587</v>
          </cell>
          <cell r="C215" t="str">
            <v>Ограда инкубатора     82</v>
          </cell>
          <cell r="D215">
            <v>34318</v>
          </cell>
          <cell r="E215">
            <v>34318</v>
          </cell>
          <cell r="F215">
            <v>23616</v>
          </cell>
          <cell r="G215">
            <v>13.261762999999998</v>
          </cell>
          <cell r="H215">
            <v>313189.79500799999</v>
          </cell>
          <cell r="I215">
            <v>22.057534246575344</v>
          </cell>
          <cell r="J215" t="str">
            <v>металические секции</v>
          </cell>
          <cell r="K215">
            <v>0</v>
          </cell>
          <cell r="L215">
            <v>25</v>
          </cell>
          <cell r="M215">
            <v>0.8</v>
          </cell>
          <cell r="N215">
            <v>0</v>
          </cell>
          <cell r="O215">
            <v>0</v>
          </cell>
          <cell r="P215">
            <v>0.8</v>
          </cell>
          <cell r="Q215">
            <v>8040.32</v>
          </cell>
          <cell r="R215" t="e">
            <v>#DIV/0!</v>
          </cell>
          <cell r="S215">
            <v>0</v>
          </cell>
          <cell r="T215">
            <v>62638</v>
          </cell>
          <cell r="U215" t="e">
            <v>#DIV/0!</v>
          </cell>
          <cell r="V215">
            <v>7.7904859508079287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 t="str">
            <v/>
          </cell>
          <cell r="AB215" t="e">
            <v>#VALUE!</v>
          </cell>
          <cell r="AC215">
            <v>0</v>
          </cell>
          <cell r="AD215" t="str">
            <v>Не рассчитывалась</v>
          </cell>
          <cell r="AE215" t="str">
            <v>Не рассчитывалась</v>
          </cell>
          <cell r="AF215" t="e">
            <v>#VALUE!</v>
          </cell>
          <cell r="AG215">
            <v>0</v>
          </cell>
          <cell r="AH215" t="str">
            <v>не будет использоваться</v>
          </cell>
          <cell r="AI215">
            <v>0</v>
          </cell>
          <cell r="AL215">
            <v>0</v>
          </cell>
          <cell r="AM215" t="str">
            <v>Не рассчитывалась</v>
          </cell>
        </row>
        <row r="216">
          <cell r="A216">
            <v>287</v>
          </cell>
          <cell r="B216">
            <v>588</v>
          </cell>
          <cell r="C216" t="str">
            <v>Ограда сройбригады</v>
          </cell>
          <cell r="D216">
            <v>29204</v>
          </cell>
          <cell r="E216">
            <v>29204</v>
          </cell>
          <cell r="F216">
            <v>14533</v>
          </cell>
          <cell r="G216">
            <v>13.261762999999998</v>
          </cell>
          <cell r="H216">
            <v>192733.20167899999</v>
          </cell>
          <cell r="I216">
            <v>36.06849315068493</v>
          </cell>
          <cell r="J216" t="str">
            <v>ж/б плиты</v>
          </cell>
          <cell r="K216">
            <v>0</v>
          </cell>
          <cell r="L216">
            <v>30</v>
          </cell>
          <cell r="M216">
            <v>0.8</v>
          </cell>
          <cell r="N216">
            <v>0</v>
          </cell>
          <cell r="O216">
            <v>0</v>
          </cell>
          <cell r="P216">
            <v>0.8</v>
          </cell>
          <cell r="Q216">
            <v>0</v>
          </cell>
          <cell r="R216" t="e">
            <v>#DIV/0!</v>
          </cell>
          <cell r="S216" t="str">
            <v>Не соответствует</v>
          </cell>
          <cell r="T216">
            <v>38547</v>
          </cell>
          <cell r="U216" t="e">
            <v>#DIV/0!</v>
          </cell>
          <cell r="V216" t="e">
            <v>#DIV/0!</v>
          </cell>
          <cell r="W216" t="str">
            <v>Соответствует</v>
          </cell>
          <cell r="X216">
            <v>0</v>
          </cell>
          <cell r="Y216">
            <v>0</v>
          </cell>
          <cell r="Z216" t="str">
            <v/>
          </cell>
          <cell r="AA216" t="str">
            <v/>
          </cell>
          <cell r="AB216" t="e">
            <v>#VALUE!</v>
          </cell>
          <cell r="AC216" t="str">
            <v>Не рассчитывалась</v>
          </cell>
          <cell r="AD216">
            <v>323728</v>
          </cell>
          <cell r="AE216" t="str">
            <v>Не рассчитывалась</v>
          </cell>
          <cell r="AF216" t="e">
            <v>#DIV/0!</v>
          </cell>
          <cell r="AG216">
            <v>0</v>
          </cell>
          <cell r="AH216" t="str">
            <v>будет использоваться</v>
          </cell>
          <cell r="AI216">
            <v>0</v>
          </cell>
          <cell r="AJ21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6">
            <v>38547</v>
          </cell>
          <cell r="AM216" t="str">
            <v>По сроку службы</v>
          </cell>
        </row>
        <row r="217">
          <cell r="A217">
            <v>288</v>
          </cell>
          <cell r="B217" t="str">
            <v>Р00008007</v>
          </cell>
          <cell r="C217" t="str">
            <v>Ограждение  бр.5 Литер:VII Дл. 475 м Кад№  23:11:0702000:757</v>
          </cell>
          <cell r="D217">
            <v>40178</v>
          </cell>
          <cell r="E217">
            <v>40178</v>
          </cell>
          <cell r="F217">
            <v>715445.83</v>
          </cell>
          <cell r="G217">
            <v>1.6231310466138962</v>
          </cell>
          <cell r="H217">
            <v>1161262.3388434476</v>
          </cell>
          <cell r="I217">
            <v>6.0027397260273974</v>
          </cell>
          <cell r="J217" t="str">
            <v>железобетон</v>
          </cell>
          <cell r="K217">
            <v>0</v>
          </cell>
          <cell r="L217">
            <v>30</v>
          </cell>
          <cell r="M217">
            <v>0.20009132420091325</v>
          </cell>
          <cell r="N217">
            <v>0</v>
          </cell>
          <cell r="O217">
            <v>0</v>
          </cell>
          <cell r="P217">
            <v>0.20009132420091325</v>
          </cell>
          <cell r="Q217">
            <v>572753.28999999992</v>
          </cell>
          <cell r="R217" t="e">
            <v>#VALUE!</v>
          </cell>
          <cell r="S217" t="str">
            <v>Не соответствует</v>
          </cell>
          <cell r="T217">
            <v>928904</v>
          </cell>
          <cell r="U217" t="e">
            <v>#VALUE!</v>
          </cell>
          <cell r="V217">
            <v>1.621822198524604</v>
          </cell>
          <cell r="W217" t="str">
            <v>Соответствует</v>
          </cell>
          <cell r="X217">
            <v>0</v>
          </cell>
          <cell r="Y217">
            <v>0</v>
          </cell>
          <cell r="Z217" t="str">
            <v/>
          </cell>
          <cell r="AA217" t="str">
            <v/>
          </cell>
          <cell r="AB217" t="e">
            <v>#VALUE!</v>
          </cell>
          <cell r="AC217" t="str">
            <v>Не рассчитывалась</v>
          </cell>
          <cell r="AD217">
            <v>960958</v>
          </cell>
          <cell r="AE217" t="str">
            <v>Не рассчитывалась</v>
          </cell>
          <cell r="AF217">
            <v>1.6777869578016744</v>
          </cell>
          <cell r="AG217" t="str">
            <v>протяженность: 475 м.</v>
          </cell>
          <cell r="AH217">
            <v>0</v>
          </cell>
          <cell r="AI217">
            <v>0</v>
          </cell>
          <cell r="AJ21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7">
            <v>928904</v>
          </cell>
          <cell r="AM217" t="str">
            <v>По сроку службы</v>
          </cell>
        </row>
        <row r="218">
          <cell r="A218">
            <v>289</v>
          </cell>
          <cell r="B218" t="str">
            <v>Р00008010</v>
          </cell>
          <cell r="C218" t="str">
            <v>Ограждение  МТФ№5  Литер :II Об.пл. 497 кв.м. Кад№ 23:11:0702000:761</v>
          </cell>
          <cell r="D218">
            <v>40178</v>
          </cell>
          <cell r="E218">
            <v>40178</v>
          </cell>
          <cell r="F218">
            <v>715445.83</v>
          </cell>
          <cell r="G218">
            <v>1.6231310466138962</v>
          </cell>
          <cell r="H218">
            <v>1161262.3388434476</v>
          </cell>
          <cell r="I218">
            <v>6.0027397260273974</v>
          </cell>
          <cell r="J218" t="str">
            <v>железобетон</v>
          </cell>
          <cell r="K218">
            <v>0</v>
          </cell>
          <cell r="L218">
            <v>30</v>
          </cell>
          <cell r="M218">
            <v>0.20009132420091325</v>
          </cell>
          <cell r="N218">
            <v>0</v>
          </cell>
          <cell r="O218">
            <v>0</v>
          </cell>
          <cell r="P218">
            <v>0.20009132420091325</v>
          </cell>
          <cell r="Q218">
            <v>468086.88999999996</v>
          </cell>
          <cell r="R218">
            <v>941.82472837022124</v>
          </cell>
          <cell r="S218" t="str">
            <v>Не соответствует</v>
          </cell>
          <cell r="T218">
            <v>928904</v>
          </cell>
          <cell r="U218">
            <v>1869.0221327967806</v>
          </cell>
          <cell r="V218">
            <v>1.9844691655431752</v>
          </cell>
          <cell r="W218" t="str">
            <v>Соответствует</v>
          </cell>
          <cell r="X218">
            <v>0</v>
          </cell>
          <cell r="Y218">
            <v>0</v>
          </cell>
          <cell r="Z218" t="str">
            <v/>
          </cell>
          <cell r="AA218" t="str">
            <v/>
          </cell>
          <cell r="AB218" t="e">
            <v>#VALUE!</v>
          </cell>
          <cell r="AC218" t="str">
            <v>Не рассчитывалась</v>
          </cell>
          <cell r="AD218">
            <v>1005466</v>
          </cell>
          <cell r="AE218">
            <v>2023.0704225352113</v>
          </cell>
          <cell r="AF218">
            <v>2.1480328150185963</v>
          </cell>
          <cell r="AG218">
            <v>497</v>
          </cell>
          <cell r="AH218">
            <v>0</v>
          </cell>
          <cell r="AI218">
            <v>0</v>
          </cell>
          <cell r="AJ2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8">
            <v>928904</v>
          </cell>
          <cell r="AM218" t="str">
            <v>По сроку службы</v>
          </cell>
        </row>
        <row r="219">
          <cell r="A219">
            <v>290</v>
          </cell>
          <cell r="B219" t="str">
            <v>Р00009086</v>
          </cell>
          <cell r="C219" t="str">
            <v>Ограждение  нефтебазы</v>
          </cell>
          <cell r="D219">
            <v>40907</v>
          </cell>
          <cell r="E219">
            <v>40907</v>
          </cell>
          <cell r="F219">
            <v>571407.88</v>
          </cell>
          <cell r="G219">
            <v>1.4002276176024278</v>
          </cell>
          <cell r="H219">
            <v>800101.09449165396</v>
          </cell>
          <cell r="I219">
            <v>4.0054794520547947</v>
          </cell>
          <cell r="J219" t="str">
            <v>ж/б плиты</v>
          </cell>
          <cell r="K219">
            <v>0</v>
          </cell>
          <cell r="L219">
            <v>30</v>
          </cell>
          <cell r="M219">
            <v>0.13351598173515983</v>
          </cell>
          <cell r="N219">
            <v>0</v>
          </cell>
          <cell r="O219">
            <v>0</v>
          </cell>
          <cell r="P219">
            <v>0.13351598173515988</v>
          </cell>
          <cell r="Q219">
            <v>495431.08</v>
          </cell>
          <cell r="R219" t="e">
            <v>#DIV/0!</v>
          </cell>
          <cell r="S219" t="str">
            <v>Не соответствует</v>
          </cell>
          <cell r="T219">
            <v>693275</v>
          </cell>
          <cell r="U219" t="e">
            <v>#DIV/0!</v>
          </cell>
          <cell r="V219">
            <v>1.3993369168522896</v>
          </cell>
          <cell r="W219" t="str">
            <v>Соответствует</v>
          </cell>
          <cell r="X219">
            <v>0</v>
          </cell>
          <cell r="Y219">
            <v>0</v>
          </cell>
          <cell r="Z219" t="str">
            <v/>
          </cell>
          <cell r="AA219" t="str">
            <v/>
          </cell>
          <cell r="AB219" t="e">
            <v>#VALUE!</v>
          </cell>
          <cell r="AC219" t="str">
            <v>Не рассчитывалась</v>
          </cell>
          <cell r="AD219">
            <v>1139553</v>
          </cell>
          <cell r="AE219" t="str">
            <v>Не рассчитывалась</v>
          </cell>
          <cell r="AF219">
            <v>2.3001241666146579</v>
          </cell>
          <cell r="AG219">
            <v>0</v>
          </cell>
          <cell r="AH219">
            <v>0</v>
          </cell>
          <cell r="AI219">
            <v>0</v>
          </cell>
          <cell r="AJ21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9">
            <v>693275</v>
          </cell>
          <cell r="AM219" t="str">
            <v>По сроку службы</v>
          </cell>
        </row>
        <row r="220">
          <cell r="A220">
            <v>291</v>
          </cell>
          <cell r="B220" t="str">
            <v>Р00008442</v>
          </cell>
          <cell r="C220" t="str">
            <v>Ограждение МТФ №3  Литер V об.пл. 1067,5 кв.м.  Кад№ 23:11:0702000:770</v>
          </cell>
          <cell r="D220">
            <v>40599</v>
          </cell>
          <cell r="E220">
            <v>40599</v>
          </cell>
          <cell r="F220">
            <v>1532830</v>
          </cell>
          <cell r="G220">
            <v>1.4002276176024278</v>
          </cell>
          <cell r="H220">
            <v>2146310.8990895292</v>
          </cell>
          <cell r="I220">
            <v>4.8493150684931505</v>
          </cell>
          <cell r="J220" t="str">
            <v>железобетон</v>
          </cell>
          <cell r="K220">
            <v>0</v>
          </cell>
          <cell r="L220">
            <v>30</v>
          </cell>
          <cell r="M220">
            <v>0.16164383561643836</v>
          </cell>
          <cell r="N220">
            <v>0</v>
          </cell>
          <cell r="O220">
            <v>0</v>
          </cell>
          <cell r="P220">
            <v>0.16164383561643836</v>
          </cell>
          <cell r="Q220">
            <v>1286557.94</v>
          </cell>
          <cell r="R220">
            <v>1205.2065011709601</v>
          </cell>
          <cell r="S220" t="str">
            <v>Не соответствует</v>
          </cell>
          <cell r="T220">
            <v>1799373</v>
          </cell>
          <cell r="U220">
            <v>1685.5953161592506</v>
          </cell>
          <cell r="V220">
            <v>1.3985946097382913</v>
          </cell>
          <cell r="W220" t="str">
            <v>Соответствует</v>
          </cell>
          <cell r="X220">
            <v>0</v>
          </cell>
          <cell r="Y220">
            <v>0</v>
          </cell>
          <cell r="Z220" t="str">
            <v/>
          </cell>
          <cell r="AA220" t="str">
            <v/>
          </cell>
          <cell r="AB220" t="e">
            <v>#VALUE!</v>
          </cell>
          <cell r="AC220" t="str">
            <v>Не рассчитывалась</v>
          </cell>
          <cell r="AD220">
            <v>2263429</v>
          </cell>
          <cell r="AE220">
            <v>2120.3081967213116</v>
          </cell>
          <cell r="AF220">
            <v>1.7592903744389468</v>
          </cell>
          <cell r="AG220">
            <v>1067.5</v>
          </cell>
          <cell r="AH220">
            <v>0</v>
          </cell>
          <cell r="AI220">
            <v>0</v>
          </cell>
          <cell r="AJ22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0">
            <v>1799373</v>
          </cell>
          <cell r="AM220" t="str">
            <v>По сроку службы</v>
          </cell>
        </row>
        <row r="221">
          <cell r="A221">
            <v>294</v>
          </cell>
          <cell r="B221">
            <v>634</v>
          </cell>
          <cell r="C221" t="str">
            <v>Освещение уличное (ул Комсомольская)</v>
          </cell>
          <cell r="D221">
            <v>29570</v>
          </cell>
          <cell r="E221">
            <v>29570</v>
          </cell>
          <cell r="F221">
            <v>676200</v>
          </cell>
          <cell r="G221">
            <v>13.261762999999998</v>
          </cell>
          <cell r="H221">
            <v>8967604.1405999996</v>
          </cell>
          <cell r="I221">
            <v>35.065753424657537</v>
          </cell>
          <cell r="J221" t="str">
            <v>Металл</v>
          </cell>
          <cell r="K221">
            <v>0</v>
          </cell>
          <cell r="L221">
            <v>25</v>
          </cell>
          <cell r="M221">
            <v>0.8</v>
          </cell>
          <cell r="N221">
            <v>0</v>
          </cell>
          <cell r="O221">
            <v>0</v>
          </cell>
          <cell r="P221">
            <v>0.8</v>
          </cell>
          <cell r="Q221">
            <v>236670</v>
          </cell>
          <cell r="R221" t="e">
            <v>#DIV/0!</v>
          </cell>
          <cell r="S221">
            <v>0</v>
          </cell>
          <cell r="T221">
            <v>1793521</v>
          </cell>
          <cell r="U221" t="e">
            <v>#DIV/0!</v>
          </cell>
          <cell r="V221">
            <v>7.5781510119575781</v>
          </cell>
          <cell r="W221">
            <v>0</v>
          </cell>
          <cell r="X221">
            <v>0</v>
          </cell>
          <cell r="Y221">
            <v>0</v>
          </cell>
          <cell r="Z221" t="str">
            <v/>
          </cell>
          <cell r="AA221" t="str">
            <v/>
          </cell>
          <cell r="AB221" t="e">
            <v>#VALUE!</v>
          </cell>
          <cell r="AC221">
            <v>0</v>
          </cell>
          <cell r="AD221" t="str">
            <v>Не рассчитывалась</v>
          </cell>
          <cell r="AE221" t="str">
            <v>Не рассчитывалась</v>
          </cell>
          <cell r="AF221" t="e">
            <v>#VALUE!</v>
          </cell>
          <cell r="AG221">
            <v>0</v>
          </cell>
          <cell r="AH221" t="str">
            <v>не будет использоваться</v>
          </cell>
          <cell r="AI221">
            <v>0</v>
          </cell>
          <cell r="AL221">
            <v>0</v>
          </cell>
          <cell r="AM221" t="str">
            <v>Не рассчитывалась</v>
          </cell>
        </row>
        <row r="222">
          <cell r="A222">
            <v>295</v>
          </cell>
          <cell r="B222">
            <v>635</v>
          </cell>
          <cell r="C222" t="str">
            <v>Освещение уличное (ул. Октябрьская)</v>
          </cell>
          <cell r="D222">
            <v>28839</v>
          </cell>
          <cell r="E222">
            <v>28839</v>
          </cell>
          <cell r="F222">
            <v>184500</v>
          </cell>
          <cell r="G222">
            <v>13.261762999999998</v>
          </cell>
          <cell r="H222">
            <v>2446795.2734999997</v>
          </cell>
          <cell r="I222">
            <v>37.06849315068493</v>
          </cell>
          <cell r="J222" t="str">
            <v>металл</v>
          </cell>
          <cell r="K222">
            <v>0</v>
          </cell>
          <cell r="L222">
            <v>25</v>
          </cell>
          <cell r="M222">
            <v>0.8</v>
          </cell>
          <cell r="N222">
            <v>0</v>
          </cell>
          <cell r="O222">
            <v>0</v>
          </cell>
          <cell r="P222">
            <v>0.8</v>
          </cell>
          <cell r="Q222">
            <v>0</v>
          </cell>
          <cell r="R222" t="e">
            <v>#DIV/0!</v>
          </cell>
          <cell r="S222">
            <v>0</v>
          </cell>
          <cell r="T222">
            <v>489359</v>
          </cell>
          <cell r="U222" t="e">
            <v>#DIV/0!</v>
          </cell>
          <cell r="V222" t="e">
            <v>#DIV/0!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 t="str">
            <v/>
          </cell>
          <cell r="AB222" t="e">
            <v>#VALUE!</v>
          </cell>
          <cell r="AC222">
            <v>0</v>
          </cell>
          <cell r="AD222" t="str">
            <v>Не рассчитывалась</v>
          </cell>
          <cell r="AE222" t="str">
            <v>Не рассчитывалась</v>
          </cell>
          <cell r="AF222" t="e">
            <v>#VALUE!</v>
          </cell>
          <cell r="AG222">
            <v>0</v>
          </cell>
          <cell r="AH222" t="str">
            <v>не будет использоваться</v>
          </cell>
          <cell r="AI222">
            <v>0</v>
          </cell>
          <cell r="AL222">
            <v>0</v>
          </cell>
          <cell r="AM222" t="str">
            <v>Не рассчитывалась</v>
          </cell>
        </row>
        <row r="223">
          <cell r="A223">
            <v>296</v>
          </cell>
          <cell r="B223" t="str">
            <v>Р00008268</v>
          </cell>
          <cell r="C223" t="str">
            <v>Переходная галерея  на МТФ №3 к коровнику №3</v>
          </cell>
          <cell r="D223">
            <v>40381</v>
          </cell>
          <cell r="E223">
            <v>40381</v>
          </cell>
          <cell r="F223">
            <v>1792515.86</v>
          </cell>
          <cell r="G223">
            <v>1.4577409162717219</v>
          </cell>
          <cell r="H223">
            <v>2613023.7121879938</v>
          </cell>
          <cell r="I223">
            <v>5.4465753424657537</v>
          </cell>
          <cell r="J223" t="str">
            <v>железобетон</v>
          </cell>
          <cell r="K223">
            <v>0</v>
          </cell>
          <cell r="L223">
            <v>30</v>
          </cell>
          <cell r="M223">
            <v>0.18155251141552511</v>
          </cell>
          <cell r="N223">
            <v>0</v>
          </cell>
          <cell r="O223">
            <v>0</v>
          </cell>
          <cell r="P223">
            <v>0.18155251141552509</v>
          </cell>
          <cell r="Q223">
            <v>421768.56000000006</v>
          </cell>
          <cell r="R223">
            <v>3514.7380000000003</v>
          </cell>
          <cell r="S223" t="str">
            <v>Соответствует</v>
          </cell>
          <cell r="T223">
            <v>2138623</v>
          </cell>
          <cell r="U223">
            <v>17821.858333333334</v>
          </cell>
          <cell r="V223">
            <v>5.0706079182383812</v>
          </cell>
          <cell r="W223" t="str">
            <v>Не соответствует</v>
          </cell>
          <cell r="X223" t="str">
            <v>хорошее</v>
          </cell>
          <cell r="Y223">
            <v>0.1</v>
          </cell>
          <cell r="Z223">
            <v>2351721.3409691947</v>
          </cell>
          <cell r="AA223">
            <v>19597.677841409957</v>
          </cell>
          <cell r="AB223">
            <v>5.5758573872106405</v>
          </cell>
          <cell r="AC223" t="str">
            <v>Не соответствует</v>
          </cell>
          <cell r="AD223">
            <v>152761</v>
          </cell>
          <cell r="AE223">
            <v>1273.0083333333334</v>
          </cell>
          <cell r="AF223">
            <v>0.36219152987600589</v>
          </cell>
          <cell r="AG223">
            <v>120</v>
          </cell>
          <cell r="AH223" t="str">
            <v>будет использоваться</v>
          </cell>
          <cell r="AI223" t="str">
            <v>Уточнить состояние по фото</v>
          </cell>
          <cell r="AJ223" t="str">
            <v>Фото не предоставлено. Состояние определено по фото коровника №3 МТФ №3. Расчет по Ко-Инвесту.</v>
          </cell>
          <cell r="AL223">
            <v>152761</v>
          </cell>
          <cell r="AM223" t="str">
            <v>Ко-Инвест</v>
          </cell>
        </row>
        <row r="224">
          <cell r="A224">
            <v>297</v>
          </cell>
          <cell r="B224">
            <v>458</v>
          </cell>
          <cell r="C224" t="str">
            <v>Переходная галерея №1 МТФ№5  Литер: К Об.пл. 116,8 кв.м. Кад№  23:11:0702000:756</v>
          </cell>
          <cell r="D224">
            <v>40178</v>
          </cell>
          <cell r="E224">
            <v>40178</v>
          </cell>
          <cell r="F224">
            <v>64461.18</v>
          </cell>
          <cell r="G224">
            <v>1.6231310466138962</v>
          </cell>
          <cell r="H224">
            <v>104628.94255936675</v>
          </cell>
          <cell r="I224">
            <v>6.0027397260273974</v>
          </cell>
          <cell r="J224" t="str">
            <v>обшивка полимерным материалом</v>
          </cell>
          <cell r="K224">
            <v>0</v>
          </cell>
          <cell r="L224">
            <v>12</v>
          </cell>
          <cell r="M224">
            <v>0.50022831050228311</v>
          </cell>
          <cell r="N224">
            <v>0</v>
          </cell>
          <cell r="O224">
            <v>0</v>
          </cell>
          <cell r="P224">
            <v>0.50022831050228311</v>
          </cell>
          <cell r="Q224">
            <v>14558.980000000003</v>
          </cell>
          <cell r="R224">
            <v>124.64880136986305</v>
          </cell>
          <cell r="S224" t="str">
            <v>Не соответствует</v>
          </cell>
          <cell r="T224">
            <v>52291</v>
          </cell>
          <cell r="U224">
            <v>447.69691780821921</v>
          </cell>
          <cell r="V224">
            <v>3.5916664491605861</v>
          </cell>
          <cell r="W224" t="str">
            <v>Не соответствует</v>
          </cell>
          <cell r="X224">
            <v>0</v>
          </cell>
          <cell r="Y224">
            <v>0</v>
          </cell>
          <cell r="Z224" t="str">
            <v/>
          </cell>
          <cell r="AA224" t="str">
            <v/>
          </cell>
          <cell r="AB224" t="e">
            <v>#VALUE!</v>
          </cell>
          <cell r="AC224" t="str">
            <v>Не рассчитывалась</v>
          </cell>
          <cell r="AD224">
            <v>230707</v>
          </cell>
          <cell r="AE224">
            <v>1975.2311643835617</v>
          </cell>
          <cell r="AF224">
            <v>15.846371105668114</v>
          </cell>
          <cell r="AG224">
            <v>116.8</v>
          </cell>
          <cell r="AH224" t="str">
            <v>будет использоваться</v>
          </cell>
          <cell r="AI224" t="str">
            <v>Уточнить состояние по фото</v>
          </cell>
          <cell r="AJ224" t="str">
            <v>Фото не предоставлено. Расчет по Ко-Инвесту.</v>
          </cell>
          <cell r="AL224">
            <v>230707</v>
          </cell>
          <cell r="AM224" t="str">
            <v>Ко-Инвест</v>
          </cell>
        </row>
        <row r="225">
          <cell r="A225">
            <v>298</v>
          </cell>
          <cell r="B225" t="str">
            <v>Р00008008</v>
          </cell>
          <cell r="C225" t="str">
            <v>Переходная галерея №2   бр.5  Литер М Об.пл 497,3 кв.м Об.пл. 497,3 кв.м.Кад№  23:11:0702000:775</v>
          </cell>
          <cell r="D225">
            <v>40178</v>
          </cell>
          <cell r="E225">
            <v>40178</v>
          </cell>
          <cell r="F225">
            <v>997166.79</v>
          </cell>
          <cell r="G225">
            <v>1.6231310466138962</v>
          </cell>
          <cell r="H225">
            <v>1618532.3755013193</v>
          </cell>
          <cell r="I225">
            <v>6.0027397260273974</v>
          </cell>
          <cell r="J225" t="str">
            <v>обшивка полимерным материалом</v>
          </cell>
          <cell r="K225">
            <v>0</v>
          </cell>
          <cell r="L225">
            <v>12</v>
          </cell>
          <cell r="M225">
            <v>0.50022831050228311</v>
          </cell>
          <cell r="N225">
            <v>0</v>
          </cell>
          <cell r="O225">
            <v>0</v>
          </cell>
          <cell r="P225">
            <v>0.50022831050228311</v>
          </cell>
          <cell r="Q225">
            <v>152508.15000000002</v>
          </cell>
          <cell r="R225">
            <v>306.6723305851599</v>
          </cell>
          <cell r="S225" t="str">
            <v>Не соответствует</v>
          </cell>
          <cell r="T225">
            <v>808897</v>
          </cell>
          <cell r="U225">
            <v>1626.5775186004423</v>
          </cell>
          <cell r="V225">
            <v>5.3039591654609923</v>
          </cell>
          <cell r="W225" t="str">
            <v>Не соответствует</v>
          </cell>
          <cell r="X225">
            <v>0</v>
          </cell>
          <cell r="Y225">
            <v>0</v>
          </cell>
          <cell r="Z225" t="str">
            <v/>
          </cell>
          <cell r="AA225" t="str">
            <v/>
          </cell>
          <cell r="AB225" t="e">
            <v>#VALUE!</v>
          </cell>
          <cell r="AC225" t="str">
            <v>Не рассчитывалась</v>
          </cell>
          <cell r="AD225">
            <v>982283</v>
          </cell>
          <cell r="AE225">
            <v>1975.2322541725316</v>
          </cell>
          <cell r="AF225">
            <v>6.4408557837728662</v>
          </cell>
          <cell r="AG225">
            <v>497.3</v>
          </cell>
          <cell r="AH225" t="str">
            <v>будет использоваться</v>
          </cell>
          <cell r="AI225">
            <v>0</v>
          </cell>
          <cell r="AJ225" t="str">
            <v>Фото не предоставлено. Расчет по Ко-Инвесту.</v>
          </cell>
          <cell r="AL225">
            <v>982283</v>
          </cell>
          <cell r="AM225" t="str">
            <v>Ко-Инвест</v>
          </cell>
        </row>
        <row r="226">
          <cell r="A226">
            <v>299</v>
          </cell>
          <cell r="B226" t="str">
            <v>Р00008009</v>
          </cell>
          <cell r="C226" t="str">
            <v>Переходная галерея №3  МТФ№5 Об.пл. 239,7кв.м. Литер:Ж Кад№  23:11:0702000:765</v>
          </cell>
          <cell r="D226">
            <v>40178</v>
          </cell>
          <cell r="E226">
            <v>40178</v>
          </cell>
          <cell r="F226">
            <v>2101577.2400000002</v>
          </cell>
          <cell r="G226">
            <v>1.6231310466138962</v>
          </cell>
          <cell r="H226">
            <v>3411135.2651011436</v>
          </cell>
          <cell r="I226">
            <v>6.0027397260273974</v>
          </cell>
          <cell r="J226" t="str">
            <v>обшивка полимерным материалом</v>
          </cell>
          <cell r="K226">
            <v>0</v>
          </cell>
          <cell r="L226">
            <v>12</v>
          </cell>
          <cell r="M226">
            <v>0.50022831050228311</v>
          </cell>
          <cell r="N226">
            <v>0</v>
          </cell>
          <cell r="O226">
            <v>0</v>
          </cell>
          <cell r="P226">
            <v>0.50022831050228311</v>
          </cell>
          <cell r="Q226">
            <v>321417.56000000029</v>
          </cell>
          <cell r="R226">
            <v>1340.9159783062173</v>
          </cell>
          <cell r="S226" t="str">
            <v>Соответствует</v>
          </cell>
          <cell r="T226">
            <v>1704789</v>
          </cell>
          <cell r="U226">
            <v>7112.1777221526909</v>
          </cell>
          <cell r="V226">
            <v>5.3039697022153938</v>
          </cell>
          <cell r="W226" t="str">
            <v>Не соответствует</v>
          </cell>
          <cell r="X226">
            <v>0</v>
          </cell>
          <cell r="Y226">
            <v>0</v>
          </cell>
          <cell r="Z226" t="str">
            <v/>
          </cell>
          <cell r="AA226" t="str">
            <v/>
          </cell>
          <cell r="AB226" t="e">
            <v>#VALUE!</v>
          </cell>
          <cell r="AC226" t="str">
            <v>Не рассчитывалась</v>
          </cell>
          <cell r="AD226">
            <v>473463</v>
          </cell>
          <cell r="AE226">
            <v>1975.2315394242805</v>
          </cell>
          <cell r="AF226">
            <v>1.4730464632983946</v>
          </cell>
          <cell r="AG226">
            <v>239.7</v>
          </cell>
          <cell r="AH226" t="str">
            <v>будет использоваться</v>
          </cell>
          <cell r="AI226" t="str">
            <v>Уточнить состояние по фото</v>
          </cell>
          <cell r="AJ226" t="str">
            <v>Фото не предоставлено. Расчет по Ко-Инвесту.</v>
          </cell>
          <cell r="AL226">
            <v>473463</v>
          </cell>
          <cell r="AM226" t="str">
            <v>Ко-Инвест</v>
          </cell>
        </row>
        <row r="227">
          <cell r="A227">
            <v>300</v>
          </cell>
          <cell r="B227" t="str">
            <v>Р00009594</v>
          </cell>
          <cell r="C227" t="str">
            <v>Переходная галерея МТФ №3 Литер У  Кад№ 23:11:0702000:849</v>
          </cell>
          <cell r="D227">
            <v>41003</v>
          </cell>
          <cell r="E227">
            <v>41003</v>
          </cell>
          <cell r="F227">
            <v>344405.62</v>
          </cell>
          <cell r="G227">
            <v>1.1736089030206676</v>
          </cell>
          <cell r="H227">
            <v>404197.50188235287</v>
          </cell>
          <cell r="I227">
            <v>3.7424657534246575</v>
          </cell>
          <cell r="J227" t="str">
            <v>сэндвич панели</v>
          </cell>
          <cell r="K227">
            <v>0</v>
          </cell>
          <cell r="L227">
            <v>12</v>
          </cell>
          <cell r="M227">
            <v>0.31187214611872144</v>
          </cell>
          <cell r="N227">
            <v>0</v>
          </cell>
          <cell r="O227">
            <v>0</v>
          </cell>
          <cell r="P227">
            <v>0.31187214611872149</v>
          </cell>
          <cell r="Q227">
            <v>166125.1</v>
          </cell>
          <cell r="R227">
            <v>81.855186006405518</v>
          </cell>
          <cell r="S227" t="str">
            <v>Не соответствует</v>
          </cell>
          <cell r="T227">
            <v>278140</v>
          </cell>
          <cell r="U227">
            <v>137.04853412170485</v>
          </cell>
          <cell r="V227">
            <v>1.6742804067537054</v>
          </cell>
          <cell r="W227" t="str">
            <v>Не соответствует</v>
          </cell>
          <cell r="X227">
            <v>0</v>
          </cell>
          <cell r="Y227">
            <v>0</v>
          </cell>
          <cell r="Z227" t="str">
            <v/>
          </cell>
          <cell r="AA227" t="str">
            <v/>
          </cell>
          <cell r="AB227" t="e">
            <v>#VALUE!</v>
          </cell>
          <cell r="AC227" t="str">
            <v>Не рассчитывалась</v>
          </cell>
          <cell r="AD227">
            <v>5769740</v>
          </cell>
          <cell r="AE227">
            <v>2842.9366839122936</v>
          </cell>
          <cell r="AF227">
            <v>34.731295872809106</v>
          </cell>
          <cell r="AG227">
            <v>2029.5</v>
          </cell>
          <cell r="AH227" t="str">
            <v>будет использоваться</v>
          </cell>
          <cell r="AI227" t="str">
            <v>Уточнить состояние по фото</v>
          </cell>
          <cell r="AJ227" t="str">
            <v>Фото не предоставлено. Расчет по Ко-Инвесту.</v>
          </cell>
          <cell r="AL227">
            <v>5769740</v>
          </cell>
          <cell r="AM227" t="str">
            <v>Ко-Инвест</v>
          </cell>
        </row>
        <row r="228">
          <cell r="A228">
            <v>301</v>
          </cell>
          <cell r="B228" t="str">
            <v>Р00008443</v>
          </cell>
          <cell r="C228" t="str">
            <v>Площадка для приготовления кормосмеси  МТФ№3 Литер:VI  об.пл.1330,8 кв.м. Кад№ 23:11:0702000:773</v>
          </cell>
          <cell r="D228">
            <v>40599</v>
          </cell>
          <cell r="E228">
            <v>40599</v>
          </cell>
          <cell r="F228">
            <v>1833311</v>
          </cell>
          <cell r="G228">
            <v>1.4002276176024278</v>
          </cell>
          <cell r="H228">
            <v>2567052.6938543245</v>
          </cell>
          <cell r="I228">
            <v>4.8493150684931505</v>
          </cell>
          <cell r="J228" t="str">
            <v>ж/б плиты</v>
          </cell>
          <cell r="K228">
            <v>0</v>
          </cell>
          <cell r="L228">
            <v>20</v>
          </cell>
          <cell r="M228">
            <v>0.24246575342465754</v>
          </cell>
          <cell r="N228">
            <v>0</v>
          </cell>
          <cell r="O228">
            <v>0</v>
          </cell>
          <cell r="P228">
            <v>0.24246575342465748</v>
          </cell>
          <cell r="Q228">
            <v>1245841.1800000002</v>
          </cell>
          <cell r="R228">
            <v>936.15958821761365</v>
          </cell>
          <cell r="S228" t="str">
            <v>Соответствует</v>
          </cell>
          <cell r="T228">
            <v>1944630</v>
          </cell>
          <cell r="U228">
            <v>1461.248872858431</v>
          </cell>
          <cell r="V228">
            <v>1.5608971923692552</v>
          </cell>
          <cell r="W228" t="str">
            <v>Соответствует</v>
          </cell>
          <cell r="X228">
            <v>0</v>
          </cell>
          <cell r="Y228">
            <v>0</v>
          </cell>
          <cell r="Z228" t="str">
            <v/>
          </cell>
          <cell r="AA228" t="str">
            <v/>
          </cell>
          <cell r="AB228" t="e">
            <v>#VALUE!</v>
          </cell>
          <cell r="AC228" t="str">
            <v>Не рассчитывалась</v>
          </cell>
          <cell r="AD228">
            <v>3672216</v>
          </cell>
          <cell r="AE228">
            <v>2759.404869251578</v>
          </cell>
          <cell r="AF228">
            <v>2.9475795622681211</v>
          </cell>
          <cell r="AG228">
            <v>1330.8</v>
          </cell>
          <cell r="AH228">
            <v>0</v>
          </cell>
          <cell r="AI228">
            <v>0</v>
          </cell>
          <cell r="AJ228" t="str">
            <v>Фото не предоставлено. Чем обусловлено различие в удельной балансовой стоимости в 2 раза между этим объектом и объектами: Ц00001301, Ц00001302 и Ц00001303?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K228">
            <v>1</v>
          </cell>
          <cell r="AL228">
            <v>1944630</v>
          </cell>
          <cell r="AM228" t="str">
            <v>По сроку службы</v>
          </cell>
        </row>
        <row r="229">
          <cell r="A229">
            <v>303</v>
          </cell>
          <cell r="B229" t="str">
            <v>Ц00001302</v>
          </cell>
          <cell r="C229" t="str">
            <v>Площадка для сбора навоза №1 на МТФ№1 об.S-1400,8 кв.м.Литер VII Кад№ 23:11:0902000:334  (КС  МТФ№1)</v>
          </cell>
          <cell r="D229">
            <v>41898</v>
          </cell>
          <cell r="E229">
            <v>41898</v>
          </cell>
          <cell r="F229">
            <v>963123.61</v>
          </cell>
          <cell r="G229">
            <v>0.98151841510437443</v>
          </cell>
          <cell r="H229">
            <v>945323.55923680356</v>
          </cell>
          <cell r="I229">
            <v>1.2904109589041095</v>
          </cell>
          <cell r="J229" t="str">
            <v>железобетон</v>
          </cell>
          <cell r="K229">
            <v>0</v>
          </cell>
          <cell r="L229">
            <v>20</v>
          </cell>
          <cell r="M229">
            <v>6.4520547945205481E-2</v>
          </cell>
          <cell r="N229">
            <v>0</v>
          </cell>
          <cell r="O229">
            <v>0</v>
          </cell>
          <cell r="P229">
            <v>6.4520547945205453E-2</v>
          </cell>
          <cell r="Q229">
            <v>793160.56</v>
          </cell>
          <cell r="R229">
            <v>566.2197030268419</v>
          </cell>
          <cell r="S229" t="str">
            <v>Соответствует</v>
          </cell>
          <cell r="T229">
            <v>884331</v>
          </cell>
          <cell r="U229">
            <v>631.30425471159344</v>
          </cell>
          <cell r="V229">
            <v>1.1149457557496303</v>
          </cell>
          <cell r="W229" t="str">
            <v>Соответствует</v>
          </cell>
          <cell r="X229">
            <v>0</v>
          </cell>
          <cell r="Y229">
            <v>0</v>
          </cell>
          <cell r="Z229" t="str">
            <v/>
          </cell>
          <cell r="AA229" t="str">
            <v/>
          </cell>
          <cell r="AB229" t="e">
            <v>#VALUE!</v>
          </cell>
          <cell r="AC229" t="str">
            <v>Не рассчитывалась</v>
          </cell>
          <cell r="AD229">
            <v>4773353</v>
          </cell>
          <cell r="AE229">
            <v>3407.5906624785839</v>
          </cell>
          <cell r="AF229">
            <v>6.0181421527061305</v>
          </cell>
          <cell r="AG229">
            <v>1400.8</v>
          </cell>
          <cell r="AH229">
            <v>0</v>
          </cell>
          <cell r="AI229">
            <v>0</v>
          </cell>
          <cell r="AJ22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9">
            <v>884331</v>
          </cell>
          <cell r="AM229" t="str">
            <v>По сроку службы</v>
          </cell>
        </row>
        <row r="230">
          <cell r="A230">
            <v>304</v>
          </cell>
          <cell r="B230" t="str">
            <v>Ц00001301</v>
          </cell>
          <cell r="C230" t="str">
            <v>Площадка для сбора навоза №2  на МТФ№1 об.S-1410 кв.м.Литер VI Кад№ 23:11:0902000:288  (КС  МТФ№1)</v>
          </cell>
          <cell r="D230">
            <v>41898</v>
          </cell>
          <cell r="E230">
            <v>41898</v>
          </cell>
          <cell r="F230">
            <v>963123.61</v>
          </cell>
          <cell r="G230">
            <v>0.98151841510437443</v>
          </cell>
          <cell r="H230">
            <v>945323.55923680356</v>
          </cell>
          <cell r="I230">
            <v>1.2904109589041095</v>
          </cell>
          <cell r="J230" t="str">
            <v>бетонное покрытие</v>
          </cell>
          <cell r="K230">
            <v>0</v>
          </cell>
          <cell r="L230">
            <v>20</v>
          </cell>
          <cell r="M230">
            <v>6.4520547945205481E-2</v>
          </cell>
          <cell r="N230">
            <v>0</v>
          </cell>
          <cell r="O230">
            <v>0</v>
          </cell>
          <cell r="P230">
            <v>6.4520547945205453E-2</v>
          </cell>
          <cell r="Q230">
            <v>793160.56</v>
          </cell>
          <cell r="R230">
            <v>562.52521985815611</v>
          </cell>
          <cell r="S230" t="str">
            <v>Соответствует</v>
          </cell>
          <cell r="T230">
            <v>884331</v>
          </cell>
          <cell r="U230">
            <v>627.18510638297869</v>
          </cell>
          <cell r="V230">
            <v>1.1149457557496303</v>
          </cell>
          <cell r="W230" t="str">
            <v>Соответствует</v>
          </cell>
          <cell r="X230">
            <v>0</v>
          </cell>
          <cell r="Y230">
            <v>0</v>
          </cell>
          <cell r="Z230" t="str">
            <v/>
          </cell>
          <cell r="AA230" t="str">
            <v/>
          </cell>
          <cell r="AB230" t="e">
            <v>#VALUE!</v>
          </cell>
          <cell r="AC230" t="str">
            <v>Не рассчитывалась</v>
          </cell>
          <cell r="AD230">
            <v>4804703</v>
          </cell>
          <cell r="AE230">
            <v>3407.5907801418439</v>
          </cell>
          <cell r="AF230">
            <v>6.0576675673334028</v>
          </cell>
          <cell r="AG230">
            <v>1410</v>
          </cell>
          <cell r="AH230">
            <v>0</v>
          </cell>
          <cell r="AI230">
            <v>0</v>
          </cell>
          <cell r="AJ23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0">
            <v>884331</v>
          </cell>
          <cell r="AM230" t="str">
            <v>По сроку службы</v>
          </cell>
        </row>
        <row r="231">
          <cell r="A231">
            <v>305</v>
          </cell>
          <cell r="B231" t="str">
            <v>Ц00001303</v>
          </cell>
          <cell r="C231" t="str">
            <v>Площадка для сбора навоза №3  на МТФ№1об.S-1343,2 кв.м.Литер IV Кад№ 23:11:0902000:335  (КС  МТФ№1)</v>
          </cell>
          <cell r="D231">
            <v>41898</v>
          </cell>
          <cell r="E231">
            <v>41898</v>
          </cell>
          <cell r="F231">
            <v>963123.61</v>
          </cell>
          <cell r="G231">
            <v>0.98151841510437443</v>
          </cell>
          <cell r="H231">
            <v>945323.55923680356</v>
          </cell>
          <cell r="I231">
            <v>1.2904109589041095</v>
          </cell>
          <cell r="J231" t="str">
            <v>железобетон</v>
          </cell>
          <cell r="K231">
            <v>0</v>
          </cell>
          <cell r="L231">
            <v>20</v>
          </cell>
          <cell r="M231">
            <v>6.4520547945205481E-2</v>
          </cell>
          <cell r="N231">
            <v>0</v>
          </cell>
          <cell r="O231">
            <v>0</v>
          </cell>
          <cell r="P231">
            <v>6.4520547945205453E-2</v>
          </cell>
          <cell r="Q231">
            <v>793160.56</v>
          </cell>
          <cell r="R231">
            <v>590.50071471113756</v>
          </cell>
          <cell r="S231" t="str">
            <v>Соответствует</v>
          </cell>
          <cell r="T231">
            <v>884331</v>
          </cell>
          <cell r="U231">
            <v>658.37626563430615</v>
          </cell>
          <cell r="V231">
            <v>1.1149457557496303</v>
          </cell>
          <cell r="W231" t="str">
            <v>Соответствует</v>
          </cell>
          <cell r="X231">
            <v>0</v>
          </cell>
          <cell r="Y231">
            <v>0</v>
          </cell>
          <cell r="Z231" t="str">
            <v/>
          </cell>
          <cell r="AA231" t="str">
            <v/>
          </cell>
          <cell r="AB231" t="e">
            <v>#VALUE!</v>
          </cell>
          <cell r="AC231" t="str">
            <v>Не рассчитывалась</v>
          </cell>
          <cell r="AD231">
            <v>4577076</v>
          </cell>
          <cell r="AE231">
            <v>3407.5908278737343</v>
          </cell>
          <cell r="AF231">
            <v>5.770680276891226</v>
          </cell>
          <cell r="AG231">
            <v>1343.2</v>
          </cell>
          <cell r="AH231">
            <v>0</v>
          </cell>
          <cell r="AI231">
            <v>0</v>
          </cell>
          <cell r="AJ23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1">
            <v>884331</v>
          </cell>
          <cell r="AM231" t="str">
            <v>По сроку службы</v>
          </cell>
        </row>
        <row r="232">
          <cell r="A232">
            <v>306</v>
          </cell>
          <cell r="B232" t="str">
            <v>Ц00003365</v>
          </cell>
          <cell r="C232" t="str">
            <v>Площадка для хранения зерна  Мех.ток№1 (КС МТФ№1)</v>
          </cell>
          <cell r="D232">
            <v>41913</v>
          </cell>
          <cell r="E232">
            <v>41913</v>
          </cell>
          <cell r="F232">
            <v>44300.55</v>
          </cell>
          <cell r="G232">
            <v>0.98663458968190321</v>
          </cell>
          <cell r="H232">
            <v>43708.454971932639</v>
          </cell>
          <cell r="I232">
            <v>1.2493150684931507</v>
          </cell>
          <cell r="J232" t="str">
            <v>металл</v>
          </cell>
          <cell r="K232">
            <v>0</v>
          </cell>
          <cell r="L232">
            <v>20</v>
          </cell>
          <cell r="M232">
            <v>6.246575342465753E-2</v>
          </cell>
          <cell r="N232">
            <v>0</v>
          </cell>
          <cell r="O232">
            <v>0</v>
          </cell>
          <cell r="P232">
            <v>6.2465753424657544E-2</v>
          </cell>
          <cell r="Q232">
            <v>19492.270000000004</v>
          </cell>
          <cell r="R232">
            <v>54.145194444444456</v>
          </cell>
          <cell r="S232" t="str">
            <v>Не соответствует</v>
          </cell>
          <cell r="T232">
            <v>40978</v>
          </cell>
          <cell r="U232">
            <v>113.82777777777778</v>
          </cell>
          <cell r="V232">
            <v>2.1022692585317149</v>
          </cell>
          <cell r="W232" t="str">
            <v>Не соответствует</v>
          </cell>
          <cell r="X232">
            <v>0</v>
          </cell>
          <cell r="Y232">
            <v>0</v>
          </cell>
          <cell r="Z232" t="str">
            <v/>
          </cell>
          <cell r="AA232" t="str">
            <v/>
          </cell>
          <cell r="AB232" t="e">
            <v>#VALUE!</v>
          </cell>
          <cell r="AC232" t="str">
            <v>Не рассчитывалась</v>
          </cell>
          <cell r="AD232">
            <v>757419</v>
          </cell>
          <cell r="AE232">
            <v>2103.9416666666666</v>
          </cell>
          <cell r="AF232">
            <v>38.857403473274267</v>
          </cell>
          <cell r="AG232">
            <v>360</v>
          </cell>
          <cell r="AH232" t="str">
            <v>будет использоваться</v>
          </cell>
          <cell r="AI232">
            <v>0</v>
          </cell>
          <cell r="AJ232" t="str">
            <v>Фото не предоставлено. По данным Заказчика объект будет использоваться. Расчет по Ко-Инвесту.</v>
          </cell>
          <cell r="AL232">
            <v>757419</v>
          </cell>
          <cell r="AM232" t="str">
            <v>Ко-Инвест</v>
          </cell>
        </row>
        <row r="233">
          <cell r="A233">
            <v>307</v>
          </cell>
          <cell r="B233" t="str">
            <v>Ц00003204</v>
          </cell>
          <cell r="C233" t="str">
            <v>Подъезд к МТФ№3  (НП МТФ№3)</v>
          </cell>
          <cell r="D233">
            <v>41913</v>
          </cell>
          <cell r="E233">
            <v>41913</v>
          </cell>
          <cell r="F233">
            <v>456838.88</v>
          </cell>
          <cell r="G233">
            <v>0.98663458968190321</v>
          </cell>
          <cell r="H233">
            <v>450733.04091954022</v>
          </cell>
          <cell r="I233">
            <v>1.2493150684931507</v>
          </cell>
          <cell r="J233" t="str">
            <v>асфальтобетон</v>
          </cell>
          <cell r="K233">
            <v>0</v>
          </cell>
          <cell r="L233">
            <v>17</v>
          </cell>
          <cell r="M233">
            <v>7.3489121676067692E-2</v>
          </cell>
          <cell r="N233">
            <v>0</v>
          </cell>
          <cell r="O233">
            <v>0</v>
          </cell>
          <cell r="P233">
            <v>7.3489121676067692E-2</v>
          </cell>
          <cell r="Q233">
            <v>283980.88</v>
          </cell>
          <cell r="R233">
            <v>676.14495238095242</v>
          </cell>
          <cell r="S233" t="str">
            <v>Соответствует</v>
          </cell>
          <cell r="T233">
            <v>417609</v>
          </cell>
          <cell r="U233">
            <v>994.30714285714282</v>
          </cell>
          <cell r="V233">
            <v>1.47055322879484</v>
          </cell>
          <cell r="W233" t="str">
            <v>Соответствует</v>
          </cell>
          <cell r="X233">
            <v>0</v>
          </cell>
          <cell r="Y233">
            <v>0</v>
          </cell>
          <cell r="Z233" t="str">
            <v/>
          </cell>
          <cell r="AA233" t="str">
            <v/>
          </cell>
          <cell r="AB233" t="e">
            <v>#VALUE!</v>
          </cell>
          <cell r="AC233" t="str">
            <v>Не рассчитывалась</v>
          </cell>
          <cell r="AD233" t="str">
            <v>Не рассчитывалась</v>
          </cell>
          <cell r="AE233" t="str">
            <v>Не рассчитывалась</v>
          </cell>
          <cell r="AF233" t="e">
            <v>#VALUE!</v>
          </cell>
          <cell r="AG233">
            <v>420</v>
          </cell>
          <cell r="AH233">
            <v>0</v>
          </cell>
          <cell r="AI233">
            <v>0</v>
          </cell>
          <cell r="AJ23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3">
            <v>417609</v>
          </cell>
          <cell r="AM233" t="str">
            <v>По сроку службы</v>
          </cell>
        </row>
        <row r="234">
          <cell r="A234">
            <v>308</v>
          </cell>
          <cell r="B234" t="str">
            <v>Ц00001298</v>
          </cell>
          <cell r="C234" t="str">
            <v>Проезд №1 на МТФ№1 об.S-1156,4 кв.м. Литер IX  Кад№ 23:11:0902000:333   (КС  МТФ№1)</v>
          </cell>
          <cell r="D234">
            <v>41898</v>
          </cell>
          <cell r="E234">
            <v>41898</v>
          </cell>
          <cell r="F234">
            <v>963123.61</v>
          </cell>
          <cell r="G234">
            <v>0.98151841510437443</v>
          </cell>
          <cell r="H234">
            <v>945323.55923680356</v>
          </cell>
          <cell r="I234">
            <v>1.2904109589041095</v>
          </cell>
          <cell r="J234" t="str">
            <v>асфальтобетон</v>
          </cell>
          <cell r="K234">
            <v>0</v>
          </cell>
          <cell r="L234">
            <v>17</v>
          </cell>
          <cell r="M234">
            <v>7.5906526994359388E-2</v>
          </cell>
          <cell r="N234">
            <v>0</v>
          </cell>
          <cell r="O234">
            <v>0</v>
          </cell>
          <cell r="P234">
            <v>7.5906526994359402E-2</v>
          </cell>
          <cell r="Q234">
            <v>793160.56</v>
          </cell>
          <cell r="R234">
            <v>685.88772051193359</v>
          </cell>
          <cell r="S234" t="str">
            <v>Соответствует</v>
          </cell>
          <cell r="T234">
            <v>873567</v>
          </cell>
          <cell r="U234">
            <v>755.41940505015555</v>
          </cell>
          <cell r="V234">
            <v>1.1013747330048784</v>
          </cell>
          <cell r="W234" t="str">
            <v>Соответствует</v>
          </cell>
          <cell r="X234">
            <v>0</v>
          </cell>
          <cell r="Y234">
            <v>0</v>
          </cell>
          <cell r="Z234" t="str">
            <v/>
          </cell>
          <cell r="AA234" t="str">
            <v/>
          </cell>
          <cell r="AB234" t="e">
            <v>#VALUE!</v>
          </cell>
          <cell r="AC234" t="str">
            <v>Не рассчитывалась</v>
          </cell>
          <cell r="AD234" t="str">
            <v>Не рассчитывалась</v>
          </cell>
          <cell r="AE234" t="str">
            <v>Не рассчитывалась</v>
          </cell>
          <cell r="AF234" t="e">
            <v>#VALUE!</v>
          </cell>
          <cell r="AG234">
            <v>1156.4000000000001</v>
          </cell>
          <cell r="AH234">
            <v>0</v>
          </cell>
          <cell r="AI234">
            <v>0</v>
          </cell>
          <cell r="AJ23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4">
            <v>873567</v>
          </cell>
          <cell r="AM234" t="str">
            <v>По сроку службы</v>
          </cell>
        </row>
        <row r="235">
          <cell r="A235">
            <v>309</v>
          </cell>
          <cell r="B235" t="str">
            <v>Ц00001299</v>
          </cell>
          <cell r="C235" t="str">
            <v>Проезд №2 на МТФ№1 об.S-1456,8 кв.м. Литер V Кад№ 23:11:0902000:294   (КС  МТФ№1)</v>
          </cell>
          <cell r="D235">
            <v>41898</v>
          </cell>
          <cell r="E235">
            <v>41898</v>
          </cell>
          <cell r="F235">
            <v>963123.61</v>
          </cell>
          <cell r="G235">
            <v>0.98151841510437443</v>
          </cell>
          <cell r="H235">
            <v>945323.55923680356</v>
          </cell>
          <cell r="I235">
            <v>1.2904109589041095</v>
          </cell>
          <cell r="J235" t="str">
            <v>асфальтобетон</v>
          </cell>
          <cell r="K235">
            <v>0</v>
          </cell>
          <cell r="L235">
            <v>17</v>
          </cell>
          <cell r="M235">
            <v>7.5906526994359388E-2</v>
          </cell>
          <cell r="N235">
            <v>0</v>
          </cell>
          <cell r="O235">
            <v>0</v>
          </cell>
          <cell r="P235">
            <v>7.5906526994359402E-2</v>
          </cell>
          <cell r="Q235">
            <v>793160.56</v>
          </cell>
          <cell r="R235">
            <v>544.45398132894024</v>
          </cell>
          <cell r="S235" t="str">
            <v>Соответствует</v>
          </cell>
          <cell r="T235">
            <v>873567</v>
          </cell>
          <cell r="U235">
            <v>599.64785831960467</v>
          </cell>
          <cell r="V235">
            <v>1.1013747330048784</v>
          </cell>
          <cell r="W235" t="str">
            <v>Соответствует</v>
          </cell>
          <cell r="X235">
            <v>0</v>
          </cell>
          <cell r="Y235">
            <v>0</v>
          </cell>
          <cell r="Z235" t="str">
            <v/>
          </cell>
          <cell r="AA235" t="str">
            <v/>
          </cell>
          <cell r="AB235" t="e">
            <v>#VALUE!</v>
          </cell>
          <cell r="AC235" t="str">
            <v>Не рассчитывалась</v>
          </cell>
          <cell r="AD235" t="str">
            <v>Не рассчитывалась</v>
          </cell>
          <cell r="AE235" t="str">
            <v>Не рассчитывалась</v>
          </cell>
          <cell r="AF235" t="e">
            <v>#VALUE!</v>
          </cell>
          <cell r="AG235">
            <v>1456.8</v>
          </cell>
          <cell r="AH235">
            <v>0</v>
          </cell>
          <cell r="AI235">
            <v>0</v>
          </cell>
          <cell r="AJ23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5">
            <v>873567</v>
          </cell>
          <cell r="AM235" t="str">
            <v>По сроку службы</v>
          </cell>
        </row>
        <row r="236">
          <cell r="A236">
            <v>310</v>
          </cell>
          <cell r="B236" t="str">
            <v>Ц00001300</v>
          </cell>
          <cell r="C236" t="str">
            <v>Проезд №3 на МТФ№1 об.S-1271,6 кв.м. Литер  X  Кад№ 23:11:0902000:293   (КС  МТФ№1)</v>
          </cell>
          <cell r="D236">
            <v>41898</v>
          </cell>
          <cell r="E236">
            <v>41898</v>
          </cell>
          <cell r="F236">
            <v>963123.61</v>
          </cell>
          <cell r="G236">
            <v>0.98151841510437443</v>
          </cell>
          <cell r="H236">
            <v>945323.55923680356</v>
          </cell>
          <cell r="I236">
            <v>1.2904109589041095</v>
          </cell>
          <cell r="J236" t="str">
            <v>асфальтобетон</v>
          </cell>
          <cell r="K236">
            <v>0</v>
          </cell>
          <cell r="L236">
            <v>17</v>
          </cell>
          <cell r="M236">
            <v>7.5906526994359388E-2</v>
          </cell>
          <cell r="N236">
            <v>0</v>
          </cell>
          <cell r="O236">
            <v>0</v>
          </cell>
          <cell r="P236">
            <v>7.5906526994359402E-2</v>
          </cell>
          <cell r="Q236">
            <v>793160.56</v>
          </cell>
          <cell r="R236">
            <v>623.75004718464936</v>
          </cell>
          <cell r="S236" t="str">
            <v>Соответствует</v>
          </cell>
          <cell r="T236">
            <v>873567</v>
          </cell>
          <cell r="U236">
            <v>686.98254167977359</v>
          </cell>
          <cell r="V236">
            <v>1.1013747330048784</v>
          </cell>
          <cell r="W236" t="str">
            <v>Соответствует</v>
          </cell>
          <cell r="X236">
            <v>0</v>
          </cell>
          <cell r="Y236">
            <v>0</v>
          </cell>
          <cell r="Z236" t="str">
            <v/>
          </cell>
          <cell r="AA236" t="str">
            <v/>
          </cell>
          <cell r="AB236" t="e">
            <v>#VALUE!</v>
          </cell>
          <cell r="AC236" t="str">
            <v>Не рассчитывалась</v>
          </cell>
          <cell r="AD236" t="str">
            <v>Не рассчитывалась</v>
          </cell>
          <cell r="AE236" t="str">
            <v>Не рассчитывалась</v>
          </cell>
          <cell r="AF236" t="e">
            <v>#VALUE!</v>
          </cell>
          <cell r="AG236">
            <v>1271.5999999999999</v>
          </cell>
          <cell r="AH236">
            <v>0</v>
          </cell>
          <cell r="AI236">
            <v>0</v>
          </cell>
          <cell r="AJ23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6">
            <v>873567</v>
          </cell>
          <cell r="AM236" t="str">
            <v>По сроку службы</v>
          </cell>
        </row>
        <row r="237">
          <cell r="A237">
            <v>311</v>
          </cell>
          <cell r="B237" t="str">
            <v>Ц00001297</v>
          </cell>
          <cell r="C237" t="str">
            <v>Проезд №4 на МТФ№1 об.S-1190,5 кв.м. Литер VIII Кад№ 23:11:0902000:292   (КС  МТФ№1)</v>
          </cell>
          <cell r="D237">
            <v>41898</v>
          </cell>
          <cell r="E237">
            <v>41898</v>
          </cell>
          <cell r="F237">
            <v>963123.61</v>
          </cell>
          <cell r="G237">
            <v>0.98151841510437443</v>
          </cell>
          <cell r="H237">
            <v>945323.55923680356</v>
          </cell>
          <cell r="I237">
            <v>1.2904109589041095</v>
          </cell>
          <cell r="J237" t="str">
            <v>асфальтобетон</v>
          </cell>
          <cell r="K237">
            <v>0</v>
          </cell>
          <cell r="L237">
            <v>17</v>
          </cell>
          <cell r="M237">
            <v>7.5906526994359388E-2</v>
          </cell>
          <cell r="N237">
            <v>0</v>
          </cell>
          <cell r="O237">
            <v>0</v>
          </cell>
          <cell r="P237">
            <v>7.5906526994359402E-2</v>
          </cell>
          <cell r="Q237">
            <v>793160.56</v>
          </cell>
          <cell r="R237">
            <v>666.24154556908866</v>
          </cell>
          <cell r="S237" t="str">
            <v>Соответствует</v>
          </cell>
          <cell r="T237">
            <v>873567</v>
          </cell>
          <cell r="U237">
            <v>733.78160436791268</v>
          </cell>
          <cell r="V237">
            <v>1.1013747330048784</v>
          </cell>
          <cell r="W237" t="str">
            <v>Соответствует</v>
          </cell>
          <cell r="X237">
            <v>0</v>
          </cell>
          <cell r="Y237">
            <v>0</v>
          </cell>
          <cell r="Z237" t="str">
            <v/>
          </cell>
          <cell r="AA237" t="str">
            <v/>
          </cell>
          <cell r="AB237" t="e">
            <v>#VALUE!</v>
          </cell>
          <cell r="AC237" t="str">
            <v>Не рассчитывалась</v>
          </cell>
          <cell r="AD237" t="str">
            <v>Не рассчитывалась</v>
          </cell>
          <cell r="AE237" t="str">
            <v>Не рассчитывалась</v>
          </cell>
          <cell r="AF237" t="e">
            <v>#VALUE!</v>
          </cell>
          <cell r="AG237">
            <v>1190.5</v>
          </cell>
          <cell r="AH237">
            <v>0</v>
          </cell>
          <cell r="AI237">
            <v>0</v>
          </cell>
          <cell r="AJ23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7">
            <v>873567</v>
          </cell>
          <cell r="AM237" t="str">
            <v>По сроку службы</v>
          </cell>
        </row>
        <row r="238">
          <cell r="A238">
            <v>312</v>
          </cell>
          <cell r="B238" t="str">
            <v>Ц00003207</v>
          </cell>
          <cell r="C238" t="str">
            <v>Проезды и площадки (НП МТФ№2)</v>
          </cell>
          <cell r="D238">
            <v>41913</v>
          </cell>
          <cell r="E238">
            <v>41913</v>
          </cell>
          <cell r="F238">
            <v>1368556.54</v>
          </cell>
          <cell r="G238">
            <v>0.98663458968190321</v>
          </cell>
          <cell r="H238">
            <v>1350265.2202993853</v>
          </cell>
          <cell r="I238">
            <v>1.2493150684931507</v>
          </cell>
          <cell r="J238" t="str">
            <v>асфальтобетон</v>
          </cell>
          <cell r="K238">
            <v>0</v>
          </cell>
          <cell r="L238">
            <v>17</v>
          </cell>
          <cell r="M238">
            <v>7.3489121676067692E-2</v>
          </cell>
          <cell r="N238">
            <v>0</v>
          </cell>
          <cell r="O238">
            <v>0</v>
          </cell>
          <cell r="P238">
            <v>7.3489121676067692E-2</v>
          </cell>
          <cell r="Q238">
            <v>1262701.28</v>
          </cell>
          <cell r="R238">
            <v>1284.5384333672432</v>
          </cell>
          <cell r="S238" t="str">
            <v>Соответствует</v>
          </cell>
          <cell r="T238">
            <v>1251035</v>
          </cell>
          <cell r="U238">
            <v>1272.6703967446592</v>
          </cell>
          <cell r="V238">
            <v>0.99076085517233337</v>
          </cell>
          <cell r="W238" t="str">
            <v>Соответствует</v>
          </cell>
          <cell r="X238">
            <v>0</v>
          </cell>
          <cell r="Y238">
            <v>0</v>
          </cell>
          <cell r="Z238" t="str">
            <v/>
          </cell>
          <cell r="AA238" t="str">
            <v/>
          </cell>
          <cell r="AB238" t="e">
            <v>#VALUE!</v>
          </cell>
          <cell r="AC238" t="str">
            <v>Не рассчитывалась</v>
          </cell>
          <cell r="AD238" t="str">
            <v>Не рассчитывалась</v>
          </cell>
          <cell r="AE238" t="str">
            <v>Не рассчитывалась</v>
          </cell>
          <cell r="AF238" t="e">
            <v>#VALUE!</v>
          </cell>
          <cell r="AG238">
            <v>983</v>
          </cell>
          <cell r="AH238">
            <v>0</v>
          </cell>
          <cell r="AI238">
            <v>0</v>
          </cell>
          <cell r="AJ23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8">
            <v>1251035</v>
          </cell>
          <cell r="AM238" t="str">
            <v>По сроку службы</v>
          </cell>
        </row>
        <row r="239">
          <cell r="A239">
            <v>313</v>
          </cell>
          <cell r="B239">
            <v>2678</v>
          </cell>
          <cell r="C239" t="str">
            <v>Резервуар   39</v>
          </cell>
          <cell r="D239">
            <v>29570</v>
          </cell>
          <cell r="E239">
            <v>29570</v>
          </cell>
          <cell r="F239">
            <v>8000</v>
          </cell>
          <cell r="G239">
            <v>13.261762999999998</v>
          </cell>
          <cell r="H239">
            <v>106094.10399999999</v>
          </cell>
          <cell r="I239">
            <v>35.065753424657537</v>
          </cell>
          <cell r="J239" t="str">
            <v>Сталь</v>
          </cell>
          <cell r="K239">
            <v>0</v>
          </cell>
          <cell r="L239">
            <v>37</v>
          </cell>
          <cell r="M239">
            <v>0.8</v>
          </cell>
          <cell r="N239">
            <v>0</v>
          </cell>
          <cell r="O239">
            <v>0</v>
          </cell>
          <cell r="P239">
            <v>0.8</v>
          </cell>
          <cell r="Q239">
            <v>0</v>
          </cell>
          <cell r="R239" t="e">
            <v>#DIV/0!</v>
          </cell>
          <cell r="S239" t="str">
            <v>Не соответствует</v>
          </cell>
          <cell r="T239">
            <v>21219</v>
          </cell>
          <cell r="U239" t="e">
            <v>#DIV/0!</v>
          </cell>
          <cell r="V239" t="e">
            <v>#DIV/0!</v>
          </cell>
          <cell r="W239" t="str">
            <v>Соответствует</v>
          </cell>
          <cell r="X239">
            <v>0</v>
          </cell>
          <cell r="Y239">
            <v>0</v>
          </cell>
          <cell r="Z239" t="str">
            <v/>
          </cell>
          <cell r="AA239" t="str">
            <v/>
          </cell>
          <cell r="AB239" t="e">
            <v>#VALUE!</v>
          </cell>
          <cell r="AC239" t="str">
            <v>Не рассчитывалась</v>
          </cell>
          <cell r="AD239" t="str">
            <v>Не рассчитывалась</v>
          </cell>
          <cell r="AE239" t="str">
            <v>Не рассчитывалась</v>
          </cell>
          <cell r="AF239" t="e">
            <v>#VALUE!</v>
          </cell>
          <cell r="AG239">
            <v>0</v>
          </cell>
          <cell r="AH239" t="str">
            <v>будет использоваться</v>
          </cell>
          <cell r="AI239">
            <v>0</v>
          </cell>
          <cell r="AJ23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39">
            <v>21219</v>
          </cell>
          <cell r="AM239" t="str">
            <v>По сроку службы</v>
          </cell>
        </row>
        <row r="240">
          <cell r="A240">
            <v>314</v>
          </cell>
          <cell r="B240">
            <v>447</v>
          </cell>
          <cell r="C240" t="str">
            <v>Резервуар 326А</v>
          </cell>
          <cell r="D240">
            <v>28839</v>
          </cell>
          <cell r="E240">
            <v>28839</v>
          </cell>
          <cell r="F240">
            <v>3000</v>
          </cell>
          <cell r="G240">
            <v>13.261762999999998</v>
          </cell>
          <cell r="H240">
            <v>39785.288999999997</v>
          </cell>
          <cell r="I240">
            <v>37.06849315068493</v>
          </cell>
          <cell r="J240" t="str">
            <v>Сталь</v>
          </cell>
          <cell r="K240">
            <v>0</v>
          </cell>
          <cell r="L240">
            <v>37</v>
          </cell>
          <cell r="M240">
            <v>0.8</v>
          </cell>
          <cell r="N240">
            <v>0</v>
          </cell>
          <cell r="O240">
            <v>0</v>
          </cell>
          <cell r="P240">
            <v>0.8</v>
          </cell>
          <cell r="Q240">
            <v>0</v>
          </cell>
          <cell r="R240" t="e">
            <v>#DIV/0!</v>
          </cell>
          <cell r="S240" t="str">
            <v>Не соответствует</v>
          </cell>
          <cell r="T240">
            <v>7957</v>
          </cell>
          <cell r="U240" t="e">
            <v>#DIV/0!</v>
          </cell>
          <cell r="V240" t="e">
            <v>#DIV/0!</v>
          </cell>
          <cell r="W240" t="str">
            <v>Соответствует</v>
          </cell>
          <cell r="X240">
            <v>0</v>
          </cell>
          <cell r="Y240">
            <v>0</v>
          </cell>
          <cell r="Z240" t="str">
            <v/>
          </cell>
          <cell r="AA240" t="str">
            <v/>
          </cell>
          <cell r="AB240" t="e">
            <v>#VALUE!</v>
          </cell>
          <cell r="AC240" t="str">
            <v>Не рассчитывалась</v>
          </cell>
          <cell r="AD240" t="str">
            <v>Не рассчитывалась</v>
          </cell>
          <cell r="AE240" t="str">
            <v>Не рассчитывалась</v>
          </cell>
          <cell r="AF240" t="e">
            <v>#VALUE!</v>
          </cell>
          <cell r="AG240">
            <v>0</v>
          </cell>
          <cell r="AH240" t="str">
            <v>будет использоваться</v>
          </cell>
          <cell r="AI240">
            <v>0</v>
          </cell>
          <cell r="AJ24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0">
            <v>7957</v>
          </cell>
          <cell r="AM240" t="str">
            <v>По сроку службы</v>
          </cell>
        </row>
        <row r="241">
          <cell r="A241">
            <v>315</v>
          </cell>
          <cell r="B241">
            <v>486</v>
          </cell>
          <cell r="C241" t="str">
            <v>Резервуар-(236)</v>
          </cell>
          <cell r="D241">
            <v>27743</v>
          </cell>
          <cell r="E241">
            <v>27743</v>
          </cell>
          <cell r="F241">
            <v>5000</v>
          </cell>
          <cell r="G241">
            <v>13.261762999999998</v>
          </cell>
          <cell r="H241">
            <v>66308.814999999988</v>
          </cell>
          <cell r="I241">
            <v>40.07123287671233</v>
          </cell>
          <cell r="J241" t="str">
            <v>Сталь</v>
          </cell>
          <cell r="K241">
            <v>0</v>
          </cell>
          <cell r="L241">
            <v>37</v>
          </cell>
          <cell r="M241">
            <v>0.8</v>
          </cell>
          <cell r="N241">
            <v>0</v>
          </cell>
          <cell r="O241">
            <v>0</v>
          </cell>
          <cell r="P241">
            <v>0.8</v>
          </cell>
          <cell r="Q241">
            <v>0</v>
          </cell>
          <cell r="R241" t="e">
            <v>#DIV/0!</v>
          </cell>
          <cell r="S241" t="str">
            <v>Не соответствует</v>
          </cell>
          <cell r="T241">
            <v>13262</v>
          </cell>
          <cell r="U241" t="e">
            <v>#DIV/0!</v>
          </cell>
          <cell r="V241" t="e">
            <v>#DIV/0!</v>
          </cell>
          <cell r="W241" t="str">
            <v>Соответствует</v>
          </cell>
          <cell r="X241">
            <v>0</v>
          </cell>
          <cell r="Y241">
            <v>0</v>
          </cell>
          <cell r="Z241" t="str">
            <v/>
          </cell>
          <cell r="AA241" t="str">
            <v/>
          </cell>
          <cell r="AB241" t="e">
            <v>#VALUE!</v>
          </cell>
          <cell r="AC241" t="str">
            <v>Не рассчитывалась</v>
          </cell>
          <cell r="AD241" t="str">
            <v>Не рассчитывалась</v>
          </cell>
          <cell r="AE241" t="str">
            <v>Не рассчитывалась</v>
          </cell>
          <cell r="AF241" t="e">
            <v>#VALUE!</v>
          </cell>
          <cell r="AG241">
            <v>0</v>
          </cell>
          <cell r="AH241" t="str">
            <v>будет использоваться</v>
          </cell>
          <cell r="AI241">
            <v>0</v>
          </cell>
          <cell r="AJ24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1">
            <v>13262</v>
          </cell>
          <cell r="AM241" t="str">
            <v>По сроку службы</v>
          </cell>
        </row>
        <row r="242">
          <cell r="A242">
            <v>316</v>
          </cell>
          <cell r="B242">
            <v>487</v>
          </cell>
          <cell r="C242" t="str">
            <v>Резервуар-(237)</v>
          </cell>
          <cell r="D242">
            <v>27743</v>
          </cell>
          <cell r="E242">
            <v>27743</v>
          </cell>
          <cell r="F242">
            <v>5000</v>
          </cell>
          <cell r="G242">
            <v>13.261762999999998</v>
          </cell>
          <cell r="H242">
            <v>66308.814999999988</v>
          </cell>
          <cell r="I242">
            <v>40.07123287671233</v>
          </cell>
          <cell r="J242" t="str">
            <v>Сталь</v>
          </cell>
          <cell r="K242">
            <v>0</v>
          </cell>
          <cell r="L242">
            <v>37</v>
          </cell>
          <cell r="M242">
            <v>0.8</v>
          </cell>
          <cell r="N242">
            <v>0</v>
          </cell>
          <cell r="O242">
            <v>0</v>
          </cell>
          <cell r="P242">
            <v>0.8</v>
          </cell>
          <cell r="Q242">
            <v>0</v>
          </cell>
          <cell r="R242" t="e">
            <v>#DIV/0!</v>
          </cell>
          <cell r="S242" t="str">
            <v>Не соответствует</v>
          </cell>
          <cell r="T242">
            <v>13262</v>
          </cell>
          <cell r="U242" t="e">
            <v>#DIV/0!</v>
          </cell>
          <cell r="V242" t="e">
            <v>#DIV/0!</v>
          </cell>
          <cell r="W242" t="str">
            <v>Соответствует</v>
          </cell>
          <cell r="X242">
            <v>0</v>
          </cell>
          <cell r="Y242">
            <v>0</v>
          </cell>
          <cell r="Z242" t="str">
            <v/>
          </cell>
          <cell r="AA242" t="str">
            <v/>
          </cell>
          <cell r="AB242" t="e">
            <v>#VALUE!</v>
          </cell>
          <cell r="AC242" t="str">
            <v>Не рассчитывалась</v>
          </cell>
          <cell r="AD242" t="str">
            <v>Не рассчитывалась</v>
          </cell>
          <cell r="AE242" t="str">
            <v>Не рассчитывалась</v>
          </cell>
          <cell r="AF242" t="e">
            <v>#VALUE!</v>
          </cell>
          <cell r="AG242">
            <v>0</v>
          </cell>
          <cell r="AH242" t="str">
            <v>будет использоваться</v>
          </cell>
          <cell r="AI242">
            <v>0</v>
          </cell>
          <cell r="AJ24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2">
            <v>13262</v>
          </cell>
          <cell r="AM242" t="str">
            <v>По сроку службы</v>
          </cell>
        </row>
        <row r="243">
          <cell r="A243">
            <v>317</v>
          </cell>
          <cell r="B243">
            <v>489</v>
          </cell>
          <cell r="C243" t="str">
            <v>Резервуар-(239)</v>
          </cell>
          <cell r="D243">
            <v>27743</v>
          </cell>
          <cell r="E243">
            <v>27743</v>
          </cell>
          <cell r="F243">
            <v>5000</v>
          </cell>
          <cell r="G243">
            <v>13.261762999999998</v>
          </cell>
          <cell r="H243">
            <v>66308.814999999988</v>
          </cell>
          <cell r="I243">
            <v>40.07123287671233</v>
          </cell>
          <cell r="J243" t="str">
            <v>Сталь</v>
          </cell>
          <cell r="K243">
            <v>0</v>
          </cell>
          <cell r="L243">
            <v>37</v>
          </cell>
          <cell r="M243">
            <v>0.8</v>
          </cell>
          <cell r="N243">
            <v>0</v>
          </cell>
          <cell r="O243">
            <v>0</v>
          </cell>
          <cell r="P243">
            <v>0.8</v>
          </cell>
          <cell r="Q243">
            <v>0</v>
          </cell>
          <cell r="R243" t="e">
            <v>#DIV/0!</v>
          </cell>
          <cell r="S243" t="str">
            <v>Не соответствует</v>
          </cell>
          <cell r="T243">
            <v>13262</v>
          </cell>
          <cell r="U243" t="e">
            <v>#DIV/0!</v>
          </cell>
          <cell r="V243" t="e">
            <v>#DIV/0!</v>
          </cell>
          <cell r="W243" t="str">
            <v>Соответствует</v>
          </cell>
          <cell r="X243">
            <v>0</v>
          </cell>
          <cell r="Y243">
            <v>0</v>
          </cell>
          <cell r="Z243" t="str">
            <v/>
          </cell>
          <cell r="AA243" t="str">
            <v/>
          </cell>
          <cell r="AB243" t="e">
            <v>#VALUE!</v>
          </cell>
          <cell r="AC243" t="str">
            <v>Не рассчитывалась</v>
          </cell>
          <cell r="AD243" t="str">
            <v>Не рассчитывалась</v>
          </cell>
          <cell r="AE243" t="str">
            <v>Не рассчитывалась</v>
          </cell>
          <cell r="AF243" t="e">
            <v>#VALUE!</v>
          </cell>
          <cell r="AG243">
            <v>0</v>
          </cell>
          <cell r="AH243" t="str">
            <v>будет использоваться</v>
          </cell>
          <cell r="AI243">
            <v>0</v>
          </cell>
          <cell r="AJ24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3">
            <v>13262</v>
          </cell>
          <cell r="AM243" t="str">
            <v>По сроку службы</v>
          </cell>
        </row>
        <row r="244">
          <cell r="A244">
            <v>318</v>
          </cell>
          <cell r="B244">
            <v>490</v>
          </cell>
          <cell r="C244" t="str">
            <v>Резервуар-(240)</v>
          </cell>
          <cell r="D244">
            <v>29570</v>
          </cell>
          <cell r="E244">
            <v>29570</v>
          </cell>
          <cell r="F244">
            <v>12000</v>
          </cell>
          <cell r="G244">
            <v>13.261762999999998</v>
          </cell>
          <cell r="H244">
            <v>159141.15599999999</v>
          </cell>
          <cell r="I244">
            <v>35.065753424657537</v>
          </cell>
          <cell r="J244" t="str">
            <v>Сталь</v>
          </cell>
          <cell r="K244">
            <v>0</v>
          </cell>
          <cell r="L244">
            <v>37</v>
          </cell>
          <cell r="M244">
            <v>0.8</v>
          </cell>
          <cell r="N244">
            <v>0</v>
          </cell>
          <cell r="O244">
            <v>0</v>
          </cell>
          <cell r="P244">
            <v>0.8</v>
          </cell>
          <cell r="Q244">
            <v>0</v>
          </cell>
          <cell r="R244" t="e">
            <v>#DIV/0!</v>
          </cell>
          <cell r="S244" t="str">
            <v>Не соответствует</v>
          </cell>
          <cell r="T244">
            <v>31828</v>
          </cell>
          <cell r="U244" t="e">
            <v>#DIV/0!</v>
          </cell>
          <cell r="V244" t="e">
            <v>#DIV/0!</v>
          </cell>
          <cell r="W244" t="str">
            <v>Соответствует</v>
          </cell>
          <cell r="X244">
            <v>0</v>
          </cell>
          <cell r="Y244">
            <v>0</v>
          </cell>
          <cell r="Z244" t="str">
            <v/>
          </cell>
          <cell r="AA244" t="str">
            <v/>
          </cell>
          <cell r="AB244" t="e">
            <v>#VALUE!</v>
          </cell>
          <cell r="AC244" t="str">
            <v>Не рассчитывалась</v>
          </cell>
          <cell r="AD244" t="str">
            <v>Не рассчитывалась</v>
          </cell>
          <cell r="AE244" t="str">
            <v>Не рассчитывалась</v>
          </cell>
          <cell r="AF244" t="e">
            <v>#VALUE!</v>
          </cell>
          <cell r="AG244">
            <v>0</v>
          </cell>
          <cell r="AH244" t="str">
            <v>будет использоваться</v>
          </cell>
          <cell r="AI244">
            <v>0</v>
          </cell>
          <cell r="AJ24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4">
            <v>31828</v>
          </cell>
          <cell r="AM244" t="str">
            <v>По сроку службы</v>
          </cell>
        </row>
        <row r="245">
          <cell r="A245">
            <v>319</v>
          </cell>
          <cell r="B245">
            <v>491</v>
          </cell>
          <cell r="C245" t="str">
            <v>Резервуар-(241)</v>
          </cell>
          <cell r="D245">
            <v>27743</v>
          </cell>
          <cell r="E245">
            <v>27743</v>
          </cell>
          <cell r="F245">
            <v>5000</v>
          </cell>
          <cell r="G245">
            <v>13.261762999999998</v>
          </cell>
          <cell r="H245">
            <v>66308.814999999988</v>
          </cell>
          <cell r="I245">
            <v>40.07123287671233</v>
          </cell>
          <cell r="J245" t="str">
            <v>Сталь</v>
          </cell>
          <cell r="K245">
            <v>0</v>
          </cell>
          <cell r="L245">
            <v>37</v>
          </cell>
          <cell r="M245">
            <v>0.8</v>
          </cell>
          <cell r="N245">
            <v>0</v>
          </cell>
          <cell r="O245">
            <v>0</v>
          </cell>
          <cell r="P245">
            <v>0.8</v>
          </cell>
          <cell r="Q245">
            <v>0</v>
          </cell>
          <cell r="R245" t="e">
            <v>#DIV/0!</v>
          </cell>
          <cell r="S245" t="str">
            <v>Не соответствует</v>
          </cell>
          <cell r="T245">
            <v>13262</v>
          </cell>
          <cell r="U245" t="e">
            <v>#DIV/0!</v>
          </cell>
          <cell r="V245" t="e">
            <v>#DIV/0!</v>
          </cell>
          <cell r="W245" t="str">
            <v>Соответствует</v>
          </cell>
          <cell r="X245">
            <v>0</v>
          </cell>
          <cell r="Y245">
            <v>0</v>
          </cell>
          <cell r="Z245" t="str">
            <v/>
          </cell>
          <cell r="AA245" t="str">
            <v/>
          </cell>
          <cell r="AB245" t="e">
            <v>#VALUE!</v>
          </cell>
          <cell r="AC245" t="str">
            <v>Не рассчитывалась</v>
          </cell>
          <cell r="AD245" t="str">
            <v>Не рассчитывалась</v>
          </cell>
          <cell r="AE245" t="str">
            <v>Не рассчитывалась</v>
          </cell>
          <cell r="AF245" t="e">
            <v>#VALUE!</v>
          </cell>
          <cell r="AG245">
            <v>0</v>
          </cell>
          <cell r="AH245" t="str">
            <v>будет использоваться</v>
          </cell>
          <cell r="AI245">
            <v>0</v>
          </cell>
          <cell r="AJ24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5">
            <v>13262</v>
          </cell>
          <cell r="AM245" t="str">
            <v>По сроку службы</v>
          </cell>
        </row>
        <row r="246">
          <cell r="A246">
            <v>320</v>
          </cell>
          <cell r="B246">
            <v>492</v>
          </cell>
          <cell r="C246" t="str">
            <v>Резервуар-(242)</v>
          </cell>
          <cell r="D246">
            <v>27743</v>
          </cell>
          <cell r="E246">
            <v>27743</v>
          </cell>
          <cell r="F246">
            <v>5000</v>
          </cell>
          <cell r="G246">
            <v>13.261762999999998</v>
          </cell>
          <cell r="H246">
            <v>66308.814999999988</v>
          </cell>
          <cell r="I246">
            <v>40.07123287671233</v>
          </cell>
          <cell r="J246" t="str">
            <v>Сталь</v>
          </cell>
          <cell r="K246">
            <v>0</v>
          </cell>
          <cell r="L246">
            <v>37</v>
          </cell>
          <cell r="M246">
            <v>0.8</v>
          </cell>
          <cell r="N246">
            <v>0</v>
          </cell>
          <cell r="O246">
            <v>0</v>
          </cell>
          <cell r="P246">
            <v>0.8</v>
          </cell>
          <cell r="Q246">
            <v>0</v>
          </cell>
          <cell r="R246" t="e">
            <v>#DIV/0!</v>
          </cell>
          <cell r="S246" t="str">
            <v>Не соответствует</v>
          </cell>
          <cell r="T246">
            <v>13262</v>
          </cell>
          <cell r="U246" t="e">
            <v>#DIV/0!</v>
          </cell>
          <cell r="V246" t="e">
            <v>#DIV/0!</v>
          </cell>
          <cell r="W246" t="str">
            <v>Соответствует</v>
          </cell>
          <cell r="X246">
            <v>0</v>
          </cell>
          <cell r="Y246">
            <v>0</v>
          </cell>
          <cell r="Z246" t="str">
            <v/>
          </cell>
          <cell r="AA246" t="str">
            <v/>
          </cell>
          <cell r="AB246" t="e">
            <v>#VALUE!</v>
          </cell>
          <cell r="AC246" t="str">
            <v>Не рассчитывалась</v>
          </cell>
          <cell r="AD246" t="str">
            <v>Не рассчитывалась</v>
          </cell>
          <cell r="AE246" t="str">
            <v>Не рассчитывалась</v>
          </cell>
          <cell r="AF246" t="e">
            <v>#VALUE!</v>
          </cell>
          <cell r="AG246">
            <v>0</v>
          </cell>
          <cell r="AH246" t="str">
            <v>будет использоваться</v>
          </cell>
          <cell r="AI246">
            <v>0</v>
          </cell>
          <cell r="AJ24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6">
            <v>13262</v>
          </cell>
          <cell r="AM246" t="str">
            <v>По сроку службы</v>
          </cell>
        </row>
        <row r="247">
          <cell r="A247">
            <v>321</v>
          </cell>
          <cell r="B247">
            <v>493</v>
          </cell>
          <cell r="C247" t="str">
            <v>Резервуар-(243)</v>
          </cell>
          <cell r="D247">
            <v>27743</v>
          </cell>
          <cell r="E247">
            <v>27743</v>
          </cell>
          <cell r="F247">
            <v>5000</v>
          </cell>
          <cell r="G247">
            <v>13.261762999999998</v>
          </cell>
          <cell r="H247">
            <v>66308.814999999988</v>
          </cell>
          <cell r="I247">
            <v>40.07123287671233</v>
          </cell>
          <cell r="J247" t="str">
            <v>Сталь</v>
          </cell>
          <cell r="K247">
            <v>0</v>
          </cell>
          <cell r="L247">
            <v>37</v>
          </cell>
          <cell r="M247">
            <v>0.8</v>
          </cell>
          <cell r="N247">
            <v>0</v>
          </cell>
          <cell r="O247">
            <v>0</v>
          </cell>
          <cell r="P247">
            <v>0.8</v>
          </cell>
          <cell r="Q247">
            <v>0</v>
          </cell>
          <cell r="R247" t="e">
            <v>#DIV/0!</v>
          </cell>
          <cell r="S247" t="str">
            <v>Не соответствует</v>
          </cell>
          <cell r="T247">
            <v>13262</v>
          </cell>
          <cell r="U247" t="e">
            <v>#DIV/0!</v>
          </cell>
          <cell r="V247" t="e">
            <v>#DIV/0!</v>
          </cell>
          <cell r="W247" t="str">
            <v>Соответствует</v>
          </cell>
          <cell r="X247">
            <v>0</v>
          </cell>
          <cell r="Y247">
            <v>0</v>
          </cell>
          <cell r="Z247" t="str">
            <v/>
          </cell>
          <cell r="AA247" t="str">
            <v/>
          </cell>
          <cell r="AB247" t="e">
            <v>#VALUE!</v>
          </cell>
          <cell r="AC247" t="str">
            <v>Не рассчитывалась</v>
          </cell>
          <cell r="AD247" t="str">
            <v>Не рассчитывалась</v>
          </cell>
          <cell r="AE247" t="str">
            <v>Не рассчитывалась</v>
          </cell>
          <cell r="AF247" t="e">
            <v>#VALUE!</v>
          </cell>
          <cell r="AG247">
            <v>0</v>
          </cell>
          <cell r="AH247" t="str">
            <v>будет использоваться</v>
          </cell>
          <cell r="AI247">
            <v>0</v>
          </cell>
          <cell r="AJ24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7">
            <v>13262</v>
          </cell>
          <cell r="AM247" t="str">
            <v>По сроку службы</v>
          </cell>
        </row>
        <row r="248">
          <cell r="A248">
            <v>322</v>
          </cell>
          <cell r="B248">
            <v>494</v>
          </cell>
          <cell r="C248" t="str">
            <v>Резервуар-(244)</v>
          </cell>
          <cell r="D248">
            <v>27743</v>
          </cell>
          <cell r="E248">
            <v>27743</v>
          </cell>
          <cell r="F248">
            <v>5000</v>
          </cell>
          <cell r="G248">
            <v>13.261762999999998</v>
          </cell>
          <cell r="H248">
            <v>66308.814999999988</v>
          </cell>
          <cell r="I248">
            <v>40.07123287671233</v>
          </cell>
          <cell r="J248" t="str">
            <v>Сталь</v>
          </cell>
          <cell r="K248">
            <v>0</v>
          </cell>
          <cell r="L248">
            <v>37</v>
          </cell>
          <cell r="M248">
            <v>0.8</v>
          </cell>
          <cell r="N248">
            <v>0</v>
          </cell>
          <cell r="O248">
            <v>0</v>
          </cell>
          <cell r="P248">
            <v>0.8</v>
          </cell>
          <cell r="Q248">
            <v>0</v>
          </cell>
          <cell r="R248" t="e">
            <v>#DIV/0!</v>
          </cell>
          <cell r="S248" t="str">
            <v>Не соответствует</v>
          </cell>
          <cell r="T248">
            <v>13262</v>
          </cell>
          <cell r="U248" t="e">
            <v>#DIV/0!</v>
          </cell>
          <cell r="V248" t="e">
            <v>#DIV/0!</v>
          </cell>
          <cell r="W248" t="str">
            <v>Соответствует</v>
          </cell>
          <cell r="X248">
            <v>0</v>
          </cell>
          <cell r="Y248">
            <v>0</v>
          </cell>
          <cell r="Z248" t="str">
            <v/>
          </cell>
          <cell r="AA248" t="str">
            <v/>
          </cell>
          <cell r="AB248" t="e">
            <v>#VALUE!</v>
          </cell>
          <cell r="AC248" t="str">
            <v>Не рассчитывалась</v>
          </cell>
          <cell r="AD248" t="str">
            <v>Не рассчитывалась</v>
          </cell>
          <cell r="AE248" t="str">
            <v>Не рассчитывалась</v>
          </cell>
          <cell r="AF248" t="e">
            <v>#VALUE!</v>
          </cell>
          <cell r="AG248">
            <v>0</v>
          </cell>
          <cell r="AH248" t="str">
            <v>будет использоваться</v>
          </cell>
          <cell r="AI248">
            <v>0</v>
          </cell>
          <cell r="AJ24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8">
            <v>13262</v>
          </cell>
          <cell r="AM248" t="str">
            <v>По сроку службы</v>
          </cell>
        </row>
        <row r="249">
          <cell r="A249">
            <v>323</v>
          </cell>
          <cell r="B249">
            <v>495</v>
          </cell>
          <cell r="C249" t="str">
            <v>Резервуар-(245)</v>
          </cell>
          <cell r="D249">
            <v>27743</v>
          </cell>
          <cell r="E249">
            <v>27743</v>
          </cell>
          <cell r="F249">
            <v>5000</v>
          </cell>
          <cell r="G249">
            <v>13.261762999999998</v>
          </cell>
          <cell r="H249">
            <v>66308.814999999988</v>
          </cell>
          <cell r="I249">
            <v>40.07123287671233</v>
          </cell>
          <cell r="J249" t="str">
            <v>Сталь</v>
          </cell>
          <cell r="K249">
            <v>0</v>
          </cell>
          <cell r="L249">
            <v>37</v>
          </cell>
          <cell r="M249">
            <v>0.8</v>
          </cell>
          <cell r="N249">
            <v>0</v>
          </cell>
          <cell r="O249">
            <v>0</v>
          </cell>
          <cell r="P249">
            <v>0.8</v>
          </cell>
          <cell r="Q249">
            <v>0</v>
          </cell>
          <cell r="R249" t="e">
            <v>#DIV/0!</v>
          </cell>
          <cell r="S249" t="str">
            <v>Не соответствует</v>
          </cell>
          <cell r="T249">
            <v>13262</v>
          </cell>
          <cell r="U249" t="e">
            <v>#DIV/0!</v>
          </cell>
          <cell r="V249" t="e">
            <v>#DIV/0!</v>
          </cell>
          <cell r="W249" t="str">
            <v>Соответствует</v>
          </cell>
          <cell r="X249">
            <v>0</v>
          </cell>
          <cell r="Y249">
            <v>0</v>
          </cell>
          <cell r="Z249" t="str">
            <v/>
          </cell>
          <cell r="AA249" t="str">
            <v/>
          </cell>
          <cell r="AB249" t="e">
            <v>#VALUE!</v>
          </cell>
          <cell r="AC249" t="str">
            <v>Не рассчитывалась</v>
          </cell>
          <cell r="AD249" t="str">
            <v>Не рассчитывалась</v>
          </cell>
          <cell r="AE249" t="str">
            <v>Не рассчитывалась</v>
          </cell>
          <cell r="AF249" t="e">
            <v>#VALUE!</v>
          </cell>
          <cell r="AG249">
            <v>0</v>
          </cell>
          <cell r="AH249" t="str">
            <v>будет использоваться</v>
          </cell>
          <cell r="AI249">
            <v>0</v>
          </cell>
          <cell r="AJ24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9">
            <v>13262</v>
          </cell>
          <cell r="AM249" t="str">
            <v>По сроку службы</v>
          </cell>
        </row>
        <row r="250">
          <cell r="A250">
            <v>324</v>
          </cell>
          <cell r="B250">
            <v>496</v>
          </cell>
          <cell r="C250" t="str">
            <v>Резервуар-(246)</v>
          </cell>
          <cell r="D250">
            <v>27743</v>
          </cell>
          <cell r="E250">
            <v>27743</v>
          </cell>
          <cell r="F250">
            <v>5000</v>
          </cell>
          <cell r="G250">
            <v>13.261762999999998</v>
          </cell>
          <cell r="H250">
            <v>66308.814999999988</v>
          </cell>
          <cell r="I250">
            <v>40.07123287671233</v>
          </cell>
          <cell r="J250" t="str">
            <v>Сталь</v>
          </cell>
          <cell r="K250">
            <v>0</v>
          </cell>
          <cell r="L250">
            <v>37</v>
          </cell>
          <cell r="M250">
            <v>0.8</v>
          </cell>
          <cell r="N250">
            <v>0</v>
          </cell>
          <cell r="O250">
            <v>0</v>
          </cell>
          <cell r="P250">
            <v>0.8</v>
          </cell>
          <cell r="Q250">
            <v>0</v>
          </cell>
          <cell r="R250" t="e">
            <v>#DIV/0!</v>
          </cell>
          <cell r="S250" t="str">
            <v>Не соответствует</v>
          </cell>
          <cell r="T250">
            <v>13262</v>
          </cell>
          <cell r="U250" t="e">
            <v>#DIV/0!</v>
          </cell>
          <cell r="V250" t="e">
            <v>#DIV/0!</v>
          </cell>
          <cell r="W250" t="str">
            <v>Соответствует</v>
          </cell>
          <cell r="X250">
            <v>0</v>
          </cell>
          <cell r="Y250">
            <v>0</v>
          </cell>
          <cell r="Z250" t="str">
            <v/>
          </cell>
          <cell r="AA250" t="str">
            <v/>
          </cell>
          <cell r="AB250" t="e">
            <v>#VALUE!</v>
          </cell>
          <cell r="AC250" t="str">
            <v>Не рассчитывалась</v>
          </cell>
          <cell r="AD250" t="str">
            <v>Не рассчитывалась</v>
          </cell>
          <cell r="AE250" t="str">
            <v>Не рассчитывалась</v>
          </cell>
          <cell r="AF250" t="e">
            <v>#VALUE!</v>
          </cell>
          <cell r="AG250">
            <v>0</v>
          </cell>
          <cell r="AH250" t="str">
            <v>будет использоваться</v>
          </cell>
          <cell r="AI250">
            <v>0</v>
          </cell>
          <cell r="AJ25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0">
            <v>13262</v>
          </cell>
          <cell r="AM250" t="str">
            <v>По сроку службы</v>
          </cell>
        </row>
        <row r="251">
          <cell r="A251">
            <v>325</v>
          </cell>
          <cell r="B251">
            <v>497</v>
          </cell>
          <cell r="C251" t="str">
            <v>Резервуар-(247)</v>
          </cell>
          <cell r="D251">
            <v>27743</v>
          </cell>
          <cell r="E251">
            <v>27743</v>
          </cell>
          <cell r="F251">
            <v>5000</v>
          </cell>
          <cell r="G251">
            <v>13.261762999999998</v>
          </cell>
          <cell r="H251">
            <v>66308.814999999988</v>
          </cell>
          <cell r="I251">
            <v>40.07123287671233</v>
          </cell>
          <cell r="J251" t="str">
            <v>Сталь</v>
          </cell>
          <cell r="K251">
            <v>0</v>
          </cell>
          <cell r="L251">
            <v>37</v>
          </cell>
          <cell r="M251">
            <v>0.8</v>
          </cell>
          <cell r="N251">
            <v>0</v>
          </cell>
          <cell r="O251">
            <v>0</v>
          </cell>
          <cell r="P251">
            <v>0.8</v>
          </cell>
          <cell r="Q251">
            <v>0</v>
          </cell>
          <cell r="R251" t="e">
            <v>#DIV/0!</v>
          </cell>
          <cell r="S251" t="str">
            <v>Не соответствует</v>
          </cell>
          <cell r="T251">
            <v>13262</v>
          </cell>
          <cell r="U251" t="e">
            <v>#DIV/0!</v>
          </cell>
          <cell r="V251" t="e">
            <v>#DIV/0!</v>
          </cell>
          <cell r="W251" t="str">
            <v>Соответствует</v>
          </cell>
          <cell r="X251">
            <v>0</v>
          </cell>
          <cell r="Y251">
            <v>0</v>
          </cell>
          <cell r="Z251" t="str">
            <v/>
          </cell>
          <cell r="AA251" t="str">
            <v/>
          </cell>
          <cell r="AB251" t="e">
            <v>#VALUE!</v>
          </cell>
          <cell r="AC251" t="str">
            <v>Не рассчитывалась</v>
          </cell>
          <cell r="AD251" t="str">
            <v>Не рассчитывалась</v>
          </cell>
          <cell r="AE251" t="str">
            <v>Не рассчитывалась</v>
          </cell>
          <cell r="AF251" t="e">
            <v>#VALUE!</v>
          </cell>
          <cell r="AG251">
            <v>0</v>
          </cell>
          <cell r="AH251" t="str">
            <v>будет использоваться</v>
          </cell>
          <cell r="AI251">
            <v>0</v>
          </cell>
          <cell r="AJ25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1">
            <v>13262</v>
          </cell>
          <cell r="AM251" t="str">
            <v>По сроку службы</v>
          </cell>
        </row>
        <row r="252">
          <cell r="A252">
            <v>326</v>
          </cell>
          <cell r="B252">
            <v>498</v>
          </cell>
          <cell r="C252" t="str">
            <v>Резервуар-(248)</v>
          </cell>
          <cell r="D252">
            <v>27743</v>
          </cell>
          <cell r="E252">
            <v>27743</v>
          </cell>
          <cell r="F252">
            <v>5000</v>
          </cell>
          <cell r="G252">
            <v>13.261762999999998</v>
          </cell>
          <cell r="H252">
            <v>66308.814999999988</v>
          </cell>
          <cell r="I252">
            <v>40.07123287671233</v>
          </cell>
          <cell r="J252" t="str">
            <v>Сталь</v>
          </cell>
          <cell r="K252">
            <v>0</v>
          </cell>
          <cell r="L252">
            <v>37</v>
          </cell>
          <cell r="M252">
            <v>0.8</v>
          </cell>
          <cell r="N252">
            <v>0</v>
          </cell>
          <cell r="O252">
            <v>0</v>
          </cell>
          <cell r="P252">
            <v>0.8</v>
          </cell>
          <cell r="Q252">
            <v>0</v>
          </cell>
          <cell r="R252" t="e">
            <v>#DIV/0!</v>
          </cell>
          <cell r="S252" t="str">
            <v>Не соответствует</v>
          </cell>
          <cell r="T252">
            <v>13262</v>
          </cell>
          <cell r="U252" t="e">
            <v>#DIV/0!</v>
          </cell>
          <cell r="V252" t="e">
            <v>#DIV/0!</v>
          </cell>
          <cell r="W252" t="str">
            <v>Соответствует</v>
          </cell>
          <cell r="X252">
            <v>0</v>
          </cell>
          <cell r="Y252">
            <v>0</v>
          </cell>
          <cell r="Z252" t="str">
            <v/>
          </cell>
          <cell r="AA252" t="str">
            <v/>
          </cell>
          <cell r="AB252" t="e">
            <v>#VALUE!</v>
          </cell>
          <cell r="AC252" t="str">
            <v>Не рассчитывалась</v>
          </cell>
          <cell r="AD252" t="str">
            <v>Не рассчитывалась</v>
          </cell>
          <cell r="AE252" t="str">
            <v>Не рассчитывалась</v>
          </cell>
          <cell r="AF252" t="e">
            <v>#VALUE!</v>
          </cell>
          <cell r="AG252">
            <v>0</v>
          </cell>
          <cell r="AH252" t="str">
            <v>будет использоваться</v>
          </cell>
          <cell r="AI252">
            <v>0</v>
          </cell>
          <cell r="AJ25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2">
            <v>13262</v>
          </cell>
          <cell r="AM252" t="str">
            <v>По сроку службы</v>
          </cell>
        </row>
        <row r="253">
          <cell r="A253">
            <v>327</v>
          </cell>
          <cell r="B253">
            <v>500</v>
          </cell>
          <cell r="C253" t="str">
            <v>Резервуар-(250)</v>
          </cell>
          <cell r="D253">
            <v>27743</v>
          </cell>
          <cell r="E253">
            <v>27743</v>
          </cell>
          <cell r="F253">
            <v>5000</v>
          </cell>
          <cell r="G253">
            <v>13.261762999999998</v>
          </cell>
          <cell r="H253">
            <v>66308.814999999988</v>
          </cell>
          <cell r="I253">
            <v>40.07123287671233</v>
          </cell>
          <cell r="J253" t="str">
            <v>Сталь</v>
          </cell>
          <cell r="K253">
            <v>0</v>
          </cell>
          <cell r="L253">
            <v>37</v>
          </cell>
          <cell r="M253">
            <v>0.8</v>
          </cell>
          <cell r="N253">
            <v>0</v>
          </cell>
          <cell r="O253">
            <v>0</v>
          </cell>
          <cell r="P253">
            <v>0.8</v>
          </cell>
          <cell r="Q253">
            <v>0</v>
          </cell>
          <cell r="R253" t="e">
            <v>#DIV/0!</v>
          </cell>
          <cell r="S253" t="str">
            <v>Не соответствует</v>
          </cell>
          <cell r="T253">
            <v>13262</v>
          </cell>
          <cell r="U253" t="e">
            <v>#DIV/0!</v>
          </cell>
          <cell r="V253" t="e">
            <v>#DIV/0!</v>
          </cell>
          <cell r="W253" t="str">
            <v>Соответствует</v>
          </cell>
          <cell r="X253">
            <v>0</v>
          </cell>
          <cell r="Y253">
            <v>0</v>
          </cell>
          <cell r="Z253" t="str">
            <v/>
          </cell>
          <cell r="AA253" t="str">
            <v/>
          </cell>
          <cell r="AB253" t="e">
            <v>#VALUE!</v>
          </cell>
          <cell r="AC253" t="str">
            <v>Не рассчитывалась</v>
          </cell>
          <cell r="AD253" t="str">
            <v>Не рассчитывалась</v>
          </cell>
          <cell r="AE253" t="str">
            <v>Не рассчитывалась</v>
          </cell>
          <cell r="AF253" t="e">
            <v>#VALUE!</v>
          </cell>
          <cell r="AG253">
            <v>0</v>
          </cell>
          <cell r="AH253" t="str">
            <v>будет использоваться</v>
          </cell>
          <cell r="AI253">
            <v>0</v>
          </cell>
          <cell r="AJ25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3">
            <v>13262</v>
          </cell>
          <cell r="AM253" t="str">
            <v>По сроку службы</v>
          </cell>
        </row>
        <row r="254">
          <cell r="A254">
            <v>328</v>
          </cell>
          <cell r="B254">
            <v>501</v>
          </cell>
          <cell r="C254" t="str">
            <v>Резервуар-(253)</v>
          </cell>
          <cell r="D254">
            <v>27743</v>
          </cell>
          <cell r="E254">
            <v>27743</v>
          </cell>
          <cell r="F254">
            <v>5000</v>
          </cell>
          <cell r="G254">
            <v>13.261762999999998</v>
          </cell>
          <cell r="H254">
            <v>66308.814999999988</v>
          </cell>
          <cell r="I254">
            <v>40.07123287671233</v>
          </cell>
          <cell r="J254" t="str">
            <v>Сталь</v>
          </cell>
          <cell r="K254">
            <v>0</v>
          </cell>
          <cell r="L254">
            <v>37</v>
          </cell>
          <cell r="M254">
            <v>0.8</v>
          </cell>
          <cell r="N254">
            <v>0</v>
          </cell>
          <cell r="O254">
            <v>0</v>
          </cell>
          <cell r="P254">
            <v>0.8</v>
          </cell>
          <cell r="Q254">
            <v>0</v>
          </cell>
          <cell r="R254" t="e">
            <v>#DIV/0!</v>
          </cell>
          <cell r="S254" t="str">
            <v>Не соответствует</v>
          </cell>
          <cell r="T254">
            <v>13262</v>
          </cell>
          <cell r="U254" t="e">
            <v>#DIV/0!</v>
          </cell>
          <cell r="V254" t="e">
            <v>#DIV/0!</v>
          </cell>
          <cell r="W254" t="str">
            <v>Соответствует</v>
          </cell>
          <cell r="X254">
            <v>0</v>
          </cell>
          <cell r="Y254">
            <v>0</v>
          </cell>
          <cell r="Z254" t="str">
            <v/>
          </cell>
          <cell r="AA254" t="str">
            <v/>
          </cell>
          <cell r="AB254" t="e">
            <v>#VALUE!</v>
          </cell>
          <cell r="AC254" t="str">
            <v>Не рассчитывалась</v>
          </cell>
          <cell r="AD254" t="str">
            <v>Не рассчитывалась</v>
          </cell>
          <cell r="AE254" t="str">
            <v>Не рассчитывалась</v>
          </cell>
          <cell r="AF254" t="e">
            <v>#VALUE!</v>
          </cell>
          <cell r="AG254">
            <v>0</v>
          </cell>
          <cell r="AH254" t="str">
            <v>будет использоваться</v>
          </cell>
          <cell r="AI254">
            <v>0</v>
          </cell>
          <cell r="AJ25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4">
            <v>13262</v>
          </cell>
          <cell r="AM254" t="str">
            <v>По сроку службы</v>
          </cell>
        </row>
        <row r="255">
          <cell r="A255">
            <v>329</v>
          </cell>
          <cell r="B255">
            <v>461</v>
          </cell>
          <cell r="C255" t="str">
            <v>Резервуар-(288)</v>
          </cell>
          <cell r="D255">
            <v>28474</v>
          </cell>
          <cell r="E255">
            <v>28474</v>
          </cell>
          <cell r="F255">
            <v>6850</v>
          </cell>
          <cell r="G255">
            <v>13.261762999999998</v>
          </cell>
          <cell r="H255">
            <v>90843.076549999983</v>
          </cell>
          <cell r="I255">
            <v>38.06849315068493</v>
          </cell>
          <cell r="J255" t="str">
            <v>Сталь</v>
          </cell>
          <cell r="K255">
            <v>0</v>
          </cell>
          <cell r="L255">
            <v>37</v>
          </cell>
          <cell r="M255">
            <v>0.8</v>
          </cell>
          <cell r="N255">
            <v>0</v>
          </cell>
          <cell r="O255">
            <v>0</v>
          </cell>
          <cell r="P255">
            <v>0.8</v>
          </cell>
          <cell r="Q255">
            <v>0</v>
          </cell>
          <cell r="R255" t="e">
            <v>#DIV/0!</v>
          </cell>
          <cell r="S255" t="str">
            <v>Не соответствует</v>
          </cell>
          <cell r="T255">
            <v>18169</v>
          </cell>
          <cell r="U255" t="e">
            <v>#DIV/0!</v>
          </cell>
          <cell r="V255" t="e">
            <v>#DIV/0!</v>
          </cell>
          <cell r="W255" t="str">
            <v>Соответствует</v>
          </cell>
          <cell r="X255">
            <v>0</v>
          </cell>
          <cell r="Y255">
            <v>0</v>
          </cell>
          <cell r="Z255" t="str">
            <v/>
          </cell>
          <cell r="AA255" t="str">
            <v/>
          </cell>
          <cell r="AB255" t="e">
            <v>#VALUE!</v>
          </cell>
          <cell r="AC255" t="str">
            <v>Не рассчитывалась</v>
          </cell>
          <cell r="AD255" t="str">
            <v>Не рассчитывалась</v>
          </cell>
          <cell r="AE255" t="str">
            <v>Не рассчитывалась</v>
          </cell>
          <cell r="AF255" t="e">
            <v>#VALUE!</v>
          </cell>
          <cell r="AG255">
            <v>0</v>
          </cell>
          <cell r="AH255" t="str">
            <v>будет использоваться</v>
          </cell>
          <cell r="AI255">
            <v>0</v>
          </cell>
          <cell r="AJ25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5">
            <v>18169</v>
          </cell>
          <cell r="AM255" t="str">
            <v>По сроку службы</v>
          </cell>
        </row>
        <row r="256">
          <cell r="A256">
            <v>330</v>
          </cell>
          <cell r="B256">
            <v>474</v>
          </cell>
          <cell r="C256" t="str">
            <v>Резервуар-(295)</v>
          </cell>
          <cell r="D256">
            <v>29570</v>
          </cell>
          <cell r="E256">
            <v>29570</v>
          </cell>
          <cell r="F256">
            <v>10398</v>
          </cell>
          <cell r="G256">
            <v>13.261762999999998</v>
          </cell>
          <cell r="H256">
            <v>137895.811674</v>
          </cell>
          <cell r="I256">
            <v>35.065753424657537</v>
          </cell>
          <cell r="J256" t="str">
            <v>Сталь</v>
          </cell>
          <cell r="K256">
            <v>0</v>
          </cell>
          <cell r="L256">
            <v>37</v>
          </cell>
          <cell r="M256">
            <v>0.8</v>
          </cell>
          <cell r="N256">
            <v>0</v>
          </cell>
          <cell r="O256">
            <v>0</v>
          </cell>
          <cell r="P256">
            <v>0.8</v>
          </cell>
          <cell r="Q256">
            <v>0</v>
          </cell>
          <cell r="R256" t="e">
            <v>#DIV/0!</v>
          </cell>
          <cell r="S256" t="str">
            <v>Не соответствует</v>
          </cell>
          <cell r="T256">
            <v>27579</v>
          </cell>
          <cell r="U256" t="e">
            <v>#DIV/0!</v>
          </cell>
          <cell r="V256" t="e">
            <v>#DIV/0!</v>
          </cell>
          <cell r="W256" t="str">
            <v>Соответствует</v>
          </cell>
          <cell r="X256">
            <v>0</v>
          </cell>
          <cell r="Y256">
            <v>0</v>
          </cell>
          <cell r="Z256" t="str">
            <v/>
          </cell>
          <cell r="AA256" t="str">
            <v/>
          </cell>
          <cell r="AB256" t="e">
            <v>#VALUE!</v>
          </cell>
          <cell r="AC256" t="str">
            <v>Не рассчитывалась</v>
          </cell>
          <cell r="AD256" t="str">
            <v>Не рассчитывалась</v>
          </cell>
          <cell r="AE256" t="str">
            <v>Не рассчитывалась</v>
          </cell>
          <cell r="AF256" t="e">
            <v>#VALUE!</v>
          </cell>
          <cell r="AG256">
            <v>0</v>
          </cell>
          <cell r="AH256" t="str">
            <v>будет использоваться</v>
          </cell>
          <cell r="AI256">
            <v>0</v>
          </cell>
          <cell r="AJ25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6">
            <v>27579</v>
          </cell>
          <cell r="AM256" t="str">
            <v>По сроку службы</v>
          </cell>
        </row>
        <row r="257">
          <cell r="A257">
            <v>331</v>
          </cell>
          <cell r="B257">
            <v>475</v>
          </cell>
          <cell r="C257" t="str">
            <v>Резервуар-(296)</v>
          </cell>
          <cell r="D257">
            <v>29570</v>
          </cell>
          <cell r="E257">
            <v>29570</v>
          </cell>
          <cell r="F257">
            <v>10398</v>
          </cell>
          <cell r="G257">
            <v>13.261762999999998</v>
          </cell>
          <cell r="H257">
            <v>137895.811674</v>
          </cell>
          <cell r="I257">
            <v>35.065753424657537</v>
          </cell>
          <cell r="J257" t="str">
            <v>Сталь</v>
          </cell>
          <cell r="K257">
            <v>0</v>
          </cell>
          <cell r="L257">
            <v>37</v>
          </cell>
          <cell r="M257">
            <v>0.8</v>
          </cell>
          <cell r="N257">
            <v>0</v>
          </cell>
          <cell r="O257">
            <v>0</v>
          </cell>
          <cell r="P257">
            <v>0.8</v>
          </cell>
          <cell r="Q257">
            <v>0</v>
          </cell>
          <cell r="R257" t="e">
            <v>#DIV/0!</v>
          </cell>
          <cell r="S257" t="str">
            <v>Не соответствует</v>
          </cell>
          <cell r="T257">
            <v>27579</v>
          </cell>
          <cell r="U257" t="e">
            <v>#DIV/0!</v>
          </cell>
          <cell r="V257" t="e">
            <v>#DIV/0!</v>
          </cell>
          <cell r="W257" t="str">
            <v>Соответствует</v>
          </cell>
          <cell r="X257">
            <v>0</v>
          </cell>
          <cell r="Y257">
            <v>0</v>
          </cell>
          <cell r="Z257" t="str">
            <v/>
          </cell>
          <cell r="AA257" t="str">
            <v/>
          </cell>
          <cell r="AB257" t="e">
            <v>#VALUE!</v>
          </cell>
          <cell r="AC257" t="str">
            <v>Не рассчитывалась</v>
          </cell>
          <cell r="AD257" t="str">
            <v>Не рассчитывалась</v>
          </cell>
          <cell r="AE257" t="str">
            <v>Не рассчитывалась</v>
          </cell>
          <cell r="AF257" t="e">
            <v>#VALUE!</v>
          </cell>
          <cell r="AG257">
            <v>0</v>
          </cell>
          <cell r="AH257" t="str">
            <v>будет использоваться</v>
          </cell>
          <cell r="AI257">
            <v>0</v>
          </cell>
          <cell r="AJ25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7">
            <v>27579</v>
          </cell>
          <cell r="AM257" t="str">
            <v>По сроку службы</v>
          </cell>
        </row>
        <row r="258">
          <cell r="A258">
            <v>332</v>
          </cell>
          <cell r="B258">
            <v>477</v>
          </cell>
          <cell r="C258" t="str">
            <v>Резервуар-(298)</v>
          </cell>
          <cell r="D258">
            <v>29570</v>
          </cell>
          <cell r="E258">
            <v>29570</v>
          </cell>
          <cell r="F258">
            <v>10398</v>
          </cell>
          <cell r="G258">
            <v>13.261762999999998</v>
          </cell>
          <cell r="H258">
            <v>137895.811674</v>
          </cell>
          <cell r="I258">
            <v>35.065753424657537</v>
          </cell>
          <cell r="J258" t="str">
            <v>Сталь</v>
          </cell>
          <cell r="K258">
            <v>0</v>
          </cell>
          <cell r="L258">
            <v>37</v>
          </cell>
          <cell r="M258">
            <v>0.8</v>
          </cell>
          <cell r="N258">
            <v>0</v>
          </cell>
          <cell r="O258">
            <v>0</v>
          </cell>
          <cell r="P258">
            <v>0.8</v>
          </cell>
          <cell r="Q258">
            <v>0</v>
          </cell>
          <cell r="R258" t="e">
            <v>#DIV/0!</v>
          </cell>
          <cell r="S258" t="str">
            <v>Не соответствует</v>
          </cell>
          <cell r="T258">
            <v>27579</v>
          </cell>
          <cell r="U258" t="e">
            <v>#DIV/0!</v>
          </cell>
          <cell r="V258" t="e">
            <v>#DIV/0!</v>
          </cell>
          <cell r="W258" t="str">
            <v>Соответствует</v>
          </cell>
          <cell r="X258">
            <v>0</v>
          </cell>
          <cell r="Y258">
            <v>0</v>
          </cell>
          <cell r="Z258" t="str">
            <v/>
          </cell>
          <cell r="AA258" t="str">
            <v/>
          </cell>
          <cell r="AB258" t="e">
            <v>#VALUE!</v>
          </cell>
          <cell r="AC258" t="str">
            <v>Не рассчитывалась</v>
          </cell>
          <cell r="AD258" t="str">
            <v>Не рассчитывалась</v>
          </cell>
          <cell r="AE258" t="str">
            <v>Не рассчитывалась</v>
          </cell>
          <cell r="AF258" t="e">
            <v>#VALUE!</v>
          </cell>
          <cell r="AG258">
            <v>0</v>
          </cell>
          <cell r="AH258" t="str">
            <v>будет использоваться</v>
          </cell>
          <cell r="AI258">
            <v>0</v>
          </cell>
          <cell r="AJ25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8">
            <v>27579</v>
          </cell>
          <cell r="AM258" t="str">
            <v>По сроку службы</v>
          </cell>
        </row>
        <row r="259">
          <cell r="A259">
            <v>333</v>
          </cell>
          <cell r="B259">
            <v>478</v>
          </cell>
          <cell r="C259" t="str">
            <v>Резервуар-(299)</v>
          </cell>
          <cell r="D259">
            <v>29570</v>
          </cell>
          <cell r="E259">
            <v>29570</v>
          </cell>
          <cell r="F259">
            <v>10398</v>
          </cell>
          <cell r="G259">
            <v>13.261762999999998</v>
          </cell>
          <cell r="H259">
            <v>137895.811674</v>
          </cell>
          <cell r="I259">
            <v>35.065753424657537</v>
          </cell>
          <cell r="J259" t="str">
            <v>Сталь</v>
          </cell>
          <cell r="K259">
            <v>0</v>
          </cell>
          <cell r="L259">
            <v>37</v>
          </cell>
          <cell r="M259">
            <v>0.8</v>
          </cell>
          <cell r="N259">
            <v>0</v>
          </cell>
          <cell r="O259">
            <v>0</v>
          </cell>
          <cell r="P259">
            <v>0.8</v>
          </cell>
          <cell r="Q259">
            <v>0</v>
          </cell>
          <cell r="R259" t="e">
            <v>#DIV/0!</v>
          </cell>
          <cell r="S259" t="str">
            <v>Не соответствует</v>
          </cell>
          <cell r="T259">
            <v>27579</v>
          </cell>
          <cell r="U259" t="e">
            <v>#DIV/0!</v>
          </cell>
          <cell r="V259" t="e">
            <v>#DIV/0!</v>
          </cell>
          <cell r="W259" t="str">
            <v>Соответствует</v>
          </cell>
          <cell r="X259">
            <v>0</v>
          </cell>
          <cell r="Y259">
            <v>0</v>
          </cell>
          <cell r="Z259" t="str">
            <v/>
          </cell>
          <cell r="AA259" t="str">
            <v/>
          </cell>
          <cell r="AB259" t="e">
            <v>#VALUE!</v>
          </cell>
          <cell r="AC259" t="str">
            <v>Не рассчитывалась</v>
          </cell>
          <cell r="AD259" t="str">
            <v>Не рассчитывалась</v>
          </cell>
          <cell r="AE259" t="str">
            <v>Не рассчитывалась</v>
          </cell>
          <cell r="AF259" t="e">
            <v>#VALUE!</v>
          </cell>
          <cell r="AG259">
            <v>0</v>
          </cell>
          <cell r="AH259" t="str">
            <v>будет использоваться</v>
          </cell>
          <cell r="AI259">
            <v>0</v>
          </cell>
          <cell r="AJ25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9">
            <v>27579</v>
          </cell>
          <cell r="AM259" t="str">
            <v>По сроку службы</v>
          </cell>
        </row>
        <row r="260">
          <cell r="A260">
            <v>334</v>
          </cell>
          <cell r="B260">
            <v>479</v>
          </cell>
          <cell r="C260" t="str">
            <v>Резервуар-(300)</v>
          </cell>
          <cell r="D260">
            <v>29570</v>
          </cell>
          <cell r="E260">
            <v>29570</v>
          </cell>
          <cell r="F260">
            <v>10399</v>
          </cell>
          <cell r="G260">
            <v>13.261762999999998</v>
          </cell>
          <cell r="H260">
            <v>137909.07343699998</v>
          </cell>
          <cell r="I260">
            <v>35.065753424657537</v>
          </cell>
          <cell r="J260" t="str">
            <v>Сталь</v>
          </cell>
          <cell r="K260">
            <v>0</v>
          </cell>
          <cell r="L260">
            <v>37</v>
          </cell>
          <cell r="M260">
            <v>0.8</v>
          </cell>
          <cell r="N260">
            <v>0</v>
          </cell>
          <cell r="O260">
            <v>0</v>
          </cell>
          <cell r="P260">
            <v>0.8</v>
          </cell>
          <cell r="Q260">
            <v>0</v>
          </cell>
          <cell r="R260" t="e">
            <v>#DIV/0!</v>
          </cell>
          <cell r="S260" t="str">
            <v>Не соответствует</v>
          </cell>
          <cell r="T260">
            <v>27582</v>
          </cell>
          <cell r="U260" t="e">
            <v>#DIV/0!</v>
          </cell>
          <cell r="V260" t="e">
            <v>#DIV/0!</v>
          </cell>
          <cell r="W260" t="str">
            <v>Соответствует</v>
          </cell>
          <cell r="X260">
            <v>0</v>
          </cell>
          <cell r="Y260">
            <v>0</v>
          </cell>
          <cell r="Z260" t="str">
            <v/>
          </cell>
          <cell r="AA260" t="str">
            <v/>
          </cell>
          <cell r="AB260" t="e">
            <v>#VALUE!</v>
          </cell>
          <cell r="AC260" t="str">
            <v>Не рассчитывалась</v>
          </cell>
          <cell r="AD260" t="str">
            <v>Не рассчитывалась</v>
          </cell>
          <cell r="AE260" t="str">
            <v>Не рассчитывалась</v>
          </cell>
          <cell r="AF260" t="e">
            <v>#VALUE!</v>
          </cell>
          <cell r="AG260">
            <v>0</v>
          </cell>
          <cell r="AH260" t="str">
            <v>будет использоваться</v>
          </cell>
          <cell r="AI260">
            <v>0</v>
          </cell>
          <cell r="AJ26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0">
            <v>27582</v>
          </cell>
          <cell r="AM260" t="str">
            <v>По сроку службы</v>
          </cell>
        </row>
        <row r="261">
          <cell r="A261">
            <v>335</v>
          </cell>
          <cell r="B261">
            <v>480</v>
          </cell>
          <cell r="C261" t="str">
            <v>Резервуар-(301)</v>
          </cell>
          <cell r="D261">
            <v>29570</v>
          </cell>
          <cell r="E261">
            <v>29570</v>
          </cell>
          <cell r="F261">
            <v>10399</v>
          </cell>
          <cell r="G261">
            <v>13.261762999999998</v>
          </cell>
          <cell r="H261">
            <v>137909.07343699998</v>
          </cell>
          <cell r="I261">
            <v>35.065753424657537</v>
          </cell>
          <cell r="J261" t="str">
            <v>Сталь</v>
          </cell>
          <cell r="K261">
            <v>0</v>
          </cell>
          <cell r="L261">
            <v>37</v>
          </cell>
          <cell r="M261">
            <v>0.8</v>
          </cell>
          <cell r="N261">
            <v>0</v>
          </cell>
          <cell r="O261">
            <v>0</v>
          </cell>
          <cell r="P261">
            <v>0.8</v>
          </cell>
          <cell r="Q261">
            <v>0</v>
          </cell>
          <cell r="R261" t="e">
            <v>#DIV/0!</v>
          </cell>
          <cell r="S261" t="str">
            <v>Не соответствует</v>
          </cell>
          <cell r="T261">
            <v>27582</v>
          </cell>
          <cell r="U261" t="e">
            <v>#DIV/0!</v>
          </cell>
          <cell r="V261" t="e">
            <v>#DIV/0!</v>
          </cell>
          <cell r="W261" t="str">
            <v>Соответствует</v>
          </cell>
          <cell r="X261">
            <v>0</v>
          </cell>
          <cell r="Y261">
            <v>0</v>
          </cell>
          <cell r="Z261" t="str">
            <v/>
          </cell>
          <cell r="AA261" t="str">
            <v/>
          </cell>
          <cell r="AB261" t="e">
            <v>#VALUE!</v>
          </cell>
          <cell r="AC261" t="str">
            <v>Не рассчитывалась</v>
          </cell>
          <cell r="AD261" t="str">
            <v>Не рассчитывалась</v>
          </cell>
          <cell r="AE261" t="str">
            <v>Не рассчитывалась</v>
          </cell>
          <cell r="AF261" t="e">
            <v>#VALUE!</v>
          </cell>
          <cell r="AG261">
            <v>0</v>
          </cell>
          <cell r="AH261" t="str">
            <v>будет использоваться</v>
          </cell>
          <cell r="AI261">
            <v>0</v>
          </cell>
          <cell r="AJ26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1">
            <v>27582</v>
          </cell>
          <cell r="AM261" t="str">
            <v>По сроку службы</v>
          </cell>
        </row>
        <row r="262">
          <cell r="A262">
            <v>336</v>
          </cell>
          <cell r="B262">
            <v>481</v>
          </cell>
          <cell r="C262" t="str">
            <v>Резервуар-(302)</v>
          </cell>
          <cell r="D262">
            <v>29570</v>
          </cell>
          <cell r="E262">
            <v>29570</v>
          </cell>
          <cell r="F262">
            <v>10399</v>
          </cell>
          <cell r="G262">
            <v>13.261762999999998</v>
          </cell>
          <cell r="H262">
            <v>137909.07343699998</v>
          </cell>
          <cell r="I262">
            <v>35.065753424657537</v>
          </cell>
          <cell r="J262" t="str">
            <v>Сталь</v>
          </cell>
          <cell r="K262">
            <v>0</v>
          </cell>
          <cell r="L262">
            <v>37</v>
          </cell>
          <cell r="M262">
            <v>0.8</v>
          </cell>
          <cell r="N262">
            <v>0</v>
          </cell>
          <cell r="O262">
            <v>0</v>
          </cell>
          <cell r="P262">
            <v>0.8</v>
          </cell>
          <cell r="Q262">
            <v>0</v>
          </cell>
          <cell r="R262" t="e">
            <v>#DIV/0!</v>
          </cell>
          <cell r="S262" t="str">
            <v>Не соответствует</v>
          </cell>
          <cell r="T262">
            <v>27582</v>
          </cell>
          <cell r="U262" t="e">
            <v>#DIV/0!</v>
          </cell>
          <cell r="V262" t="e">
            <v>#DIV/0!</v>
          </cell>
          <cell r="W262" t="str">
            <v>Соответствует</v>
          </cell>
          <cell r="X262">
            <v>0</v>
          </cell>
          <cell r="Y262">
            <v>0</v>
          </cell>
          <cell r="Z262" t="str">
            <v/>
          </cell>
          <cell r="AA262" t="str">
            <v/>
          </cell>
          <cell r="AB262" t="e">
            <v>#VALUE!</v>
          </cell>
          <cell r="AC262" t="str">
            <v>Не рассчитывалась</v>
          </cell>
          <cell r="AD262" t="str">
            <v>Не рассчитывалась</v>
          </cell>
          <cell r="AE262" t="str">
            <v>Не рассчитывалась</v>
          </cell>
          <cell r="AF262" t="e">
            <v>#VALUE!</v>
          </cell>
          <cell r="AG262">
            <v>0</v>
          </cell>
          <cell r="AH262" t="str">
            <v>будет использоваться</v>
          </cell>
          <cell r="AI262">
            <v>0</v>
          </cell>
          <cell r="AJ26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2">
            <v>27582</v>
          </cell>
          <cell r="AM262" t="str">
            <v>По сроку службы</v>
          </cell>
        </row>
        <row r="263">
          <cell r="A263">
            <v>337</v>
          </cell>
          <cell r="B263">
            <v>482</v>
          </cell>
          <cell r="C263" t="str">
            <v>Резервуар-(303)</v>
          </cell>
          <cell r="D263">
            <v>29570</v>
          </cell>
          <cell r="E263">
            <v>29570</v>
          </cell>
          <cell r="F263">
            <v>10399</v>
          </cell>
          <cell r="G263">
            <v>13.261762999999998</v>
          </cell>
          <cell r="H263">
            <v>137909.07343699998</v>
          </cell>
          <cell r="I263">
            <v>35.065753424657537</v>
          </cell>
          <cell r="J263" t="str">
            <v>Сталь</v>
          </cell>
          <cell r="K263">
            <v>0</v>
          </cell>
          <cell r="L263">
            <v>37</v>
          </cell>
          <cell r="M263">
            <v>0.8</v>
          </cell>
          <cell r="N263">
            <v>0</v>
          </cell>
          <cell r="O263">
            <v>0</v>
          </cell>
          <cell r="P263">
            <v>0.8</v>
          </cell>
          <cell r="Q263">
            <v>0</v>
          </cell>
          <cell r="R263" t="e">
            <v>#DIV/0!</v>
          </cell>
          <cell r="S263" t="str">
            <v>Не соответствует</v>
          </cell>
          <cell r="T263">
            <v>27582</v>
          </cell>
          <cell r="U263" t="e">
            <v>#DIV/0!</v>
          </cell>
          <cell r="V263" t="e">
            <v>#DIV/0!</v>
          </cell>
          <cell r="W263" t="str">
            <v>Соответствует</v>
          </cell>
          <cell r="X263">
            <v>0</v>
          </cell>
          <cell r="Y263">
            <v>0</v>
          </cell>
          <cell r="Z263" t="str">
            <v/>
          </cell>
          <cell r="AA263" t="str">
            <v/>
          </cell>
          <cell r="AB263" t="e">
            <v>#VALUE!</v>
          </cell>
          <cell r="AC263" t="str">
            <v>Не рассчитывалась</v>
          </cell>
          <cell r="AD263" t="str">
            <v>Не рассчитывалась</v>
          </cell>
          <cell r="AE263" t="str">
            <v>Не рассчитывалась</v>
          </cell>
          <cell r="AF263" t="e">
            <v>#VALUE!</v>
          </cell>
          <cell r="AG263">
            <v>0</v>
          </cell>
          <cell r="AH263" t="str">
            <v>будет использоваться</v>
          </cell>
          <cell r="AI263">
            <v>0</v>
          </cell>
          <cell r="AJ26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3">
            <v>27582</v>
          </cell>
          <cell r="AM263" t="str">
            <v>По сроку службы</v>
          </cell>
        </row>
        <row r="264">
          <cell r="A264">
            <v>338</v>
          </cell>
          <cell r="B264">
            <v>439</v>
          </cell>
          <cell r="C264" t="str">
            <v>Резервуар-(320)</v>
          </cell>
          <cell r="D264">
            <v>28839</v>
          </cell>
          <cell r="E264">
            <v>28839</v>
          </cell>
          <cell r="F264">
            <v>6250</v>
          </cell>
          <cell r="G264">
            <v>13.261762999999998</v>
          </cell>
          <cell r="H264">
            <v>82886.018749999988</v>
          </cell>
          <cell r="I264">
            <v>37.06849315068493</v>
          </cell>
          <cell r="J264" t="str">
            <v>Сталь</v>
          </cell>
          <cell r="K264">
            <v>0</v>
          </cell>
          <cell r="L264">
            <v>37</v>
          </cell>
          <cell r="M264">
            <v>0.8</v>
          </cell>
          <cell r="N264">
            <v>0</v>
          </cell>
          <cell r="O264">
            <v>0</v>
          </cell>
          <cell r="P264">
            <v>0.8</v>
          </cell>
          <cell r="Q264">
            <v>0</v>
          </cell>
          <cell r="R264" t="e">
            <v>#DIV/0!</v>
          </cell>
          <cell r="S264" t="str">
            <v>Не соответствует</v>
          </cell>
          <cell r="T264">
            <v>16577</v>
          </cell>
          <cell r="U264" t="e">
            <v>#DIV/0!</v>
          </cell>
          <cell r="V264" t="e">
            <v>#DIV/0!</v>
          </cell>
          <cell r="W264" t="str">
            <v>Соответствует</v>
          </cell>
          <cell r="X264">
            <v>0</v>
          </cell>
          <cell r="Y264">
            <v>0</v>
          </cell>
          <cell r="Z264" t="str">
            <v/>
          </cell>
          <cell r="AA264" t="str">
            <v/>
          </cell>
          <cell r="AB264" t="e">
            <v>#VALUE!</v>
          </cell>
          <cell r="AC264" t="str">
            <v>Не рассчитывалась</v>
          </cell>
          <cell r="AD264" t="str">
            <v>Не рассчитывалась</v>
          </cell>
          <cell r="AE264" t="str">
            <v>Не рассчитывалась</v>
          </cell>
          <cell r="AF264" t="e">
            <v>#VALUE!</v>
          </cell>
          <cell r="AG264">
            <v>0</v>
          </cell>
          <cell r="AH264" t="str">
            <v>будет использоваться</v>
          </cell>
          <cell r="AI264">
            <v>0</v>
          </cell>
          <cell r="AJ26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4">
            <v>16577</v>
          </cell>
          <cell r="AM264" t="str">
            <v>По сроку службы</v>
          </cell>
        </row>
        <row r="265">
          <cell r="A265">
            <v>339</v>
          </cell>
          <cell r="B265">
            <v>440</v>
          </cell>
          <cell r="C265" t="str">
            <v>Резервуар-(321)</v>
          </cell>
          <cell r="D265">
            <v>28839</v>
          </cell>
          <cell r="E265">
            <v>28839</v>
          </cell>
          <cell r="F265">
            <v>6250</v>
          </cell>
          <cell r="G265">
            <v>13.261762999999998</v>
          </cell>
          <cell r="H265">
            <v>82886.018749999988</v>
          </cell>
          <cell r="I265">
            <v>37.06849315068493</v>
          </cell>
          <cell r="J265" t="str">
            <v>Сталь</v>
          </cell>
          <cell r="K265">
            <v>0</v>
          </cell>
          <cell r="L265">
            <v>37</v>
          </cell>
          <cell r="M265">
            <v>0.8</v>
          </cell>
          <cell r="N265">
            <v>0</v>
          </cell>
          <cell r="O265">
            <v>0</v>
          </cell>
          <cell r="P265">
            <v>0.8</v>
          </cell>
          <cell r="Q265">
            <v>0</v>
          </cell>
          <cell r="R265" t="e">
            <v>#DIV/0!</v>
          </cell>
          <cell r="S265" t="str">
            <v>Не соответствует</v>
          </cell>
          <cell r="T265">
            <v>16577</v>
          </cell>
          <cell r="U265" t="e">
            <v>#DIV/0!</v>
          </cell>
          <cell r="V265" t="e">
            <v>#DIV/0!</v>
          </cell>
          <cell r="W265" t="str">
            <v>Соответствует</v>
          </cell>
          <cell r="X265">
            <v>0</v>
          </cell>
          <cell r="Y265">
            <v>0</v>
          </cell>
          <cell r="Z265" t="str">
            <v/>
          </cell>
          <cell r="AA265" t="str">
            <v/>
          </cell>
          <cell r="AB265" t="e">
            <v>#VALUE!</v>
          </cell>
          <cell r="AC265" t="str">
            <v>Не рассчитывалась</v>
          </cell>
          <cell r="AD265" t="str">
            <v>Не рассчитывалась</v>
          </cell>
          <cell r="AE265" t="str">
            <v>Не рассчитывалась</v>
          </cell>
          <cell r="AF265" t="e">
            <v>#VALUE!</v>
          </cell>
          <cell r="AG265">
            <v>0</v>
          </cell>
          <cell r="AH265" t="str">
            <v>будет использоваться</v>
          </cell>
          <cell r="AI265">
            <v>0</v>
          </cell>
          <cell r="AJ26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5">
            <v>16577</v>
          </cell>
          <cell r="AM265" t="str">
            <v>По сроку службы</v>
          </cell>
        </row>
        <row r="266">
          <cell r="A266">
            <v>340</v>
          </cell>
          <cell r="B266">
            <v>441</v>
          </cell>
          <cell r="C266" t="str">
            <v>Резервуар-(322)</v>
          </cell>
          <cell r="D266">
            <v>28839</v>
          </cell>
          <cell r="E266">
            <v>28839</v>
          </cell>
          <cell r="F266">
            <v>6250</v>
          </cell>
          <cell r="G266">
            <v>13.261762999999998</v>
          </cell>
          <cell r="H266">
            <v>82886.018749999988</v>
          </cell>
          <cell r="I266">
            <v>37.06849315068493</v>
          </cell>
          <cell r="J266" t="str">
            <v>Сталь</v>
          </cell>
          <cell r="K266">
            <v>0</v>
          </cell>
          <cell r="L266">
            <v>37</v>
          </cell>
          <cell r="M266">
            <v>0.8</v>
          </cell>
          <cell r="N266">
            <v>0</v>
          </cell>
          <cell r="O266">
            <v>0</v>
          </cell>
          <cell r="P266">
            <v>0.8</v>
          </cell>
          <cell r="Q266">
            <v>0</v>
          </cell>
          <cell r="R266" t="e">
            <v>#DIV/0!</v>
          </cell>
          <cell r="S266" t="str">
            <v>Не соответствует</v>
          </cell>
          <cell r="T266">
            <v>16577</v>
          </cell>
          <cell r="U266" t="e">
            <v>#DIV/0!</v>
          </cell>
          <cell r="V266" t="e">
            <v>#DIV/0!</v>
          </cell>
          <cell r="W266" t="str">
            <v>Соответствует</v>
          </cell>
          <cell r="X266">
            <v>0</v>
          </cell>
          <cell r="Y266">
            <v>0</v>
          </cell>
          <cell r="Z266" t="str">
            <v/>
          </cell>
          <cell r="AA266" t="str">
            <v/>
          </cell>
          <cell r="AB266" t="e">
            <v>#VALUE!</v>
          </cell>
          <cell r="AC266" t="str">
            <v>Не рассчитывалась</v>
          </cell>
          <cell r="AD266" t="str">
            <v>Не рассчитывалась</v>
          </cell>
          <cell r="AE266" t="str">
            <v>Не рассчитывалась</v>
          </cell>
          <cell r="AF266" t="e">
            <v>#VALUE!</v>
          </cell>
          <cell r="AG266">
            <v>0</v>
          </cell>
          <cell r="AH266" t="str">
            <v>будет использоваться</v>
          </cell>
          <cell r="AI266">
            <v>0</v>
          </cell>
          <cell r="AJ26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6">
            <v>16577</v>
          </cell>
          <cell r="AM266" t="str">
            <v>По сроку службы</v>
          </cell>
        </row>
        <row r="267">
          <cell r="A267">
            <v>341</v>
          </cell>
          <cell r="B267">
            <v>442</v>
          </cell>
          <cell r="C267" t="str">
            <v>Резервуар-(323)</v>
          </cell>
          <cell r="D267">
            <v>28839</v>
          </cell>
          <cell r="E267">
            <v>28839</v>
          </cell>
          <cell r="F267">
            <v>6250</v>
          </cell>
          <cell r="G267">
            <v>13.261762999999998</v>
          </cell>
          <cell r="H267">
            <v>82886.018749999988</v>
          </cell>
          <cell r="I267">
            <v>37.06849315068493</v>
          </cell>
          <cell r="J267" t="str">
            <v>Сталь</v>
          </cell>
          <cell r="K267">
            <v>0</v>
          </cell>
          <cell r="L267">
            <v>37</v>
          </cell>
          <cell r="M267">
            <v>0.8</v>
          </cell>
          <cell r="N267">
            <v>0</v>
          </cell>
          <cell r="O267">
            <v>0</v>
          </cell>
          <cell r="P267">
            <v>0.8</v>
          </cell>
          <cell r="Q267">
            <v>0</v>
          </cell>
          <cell r="R267" t="e">
            <v>#DIV/0!</v>
          </cell>
          <cell r="S267" t="str">
            <v>Не соответствует</v>
          </cell>
          <cell r="T267">
            <v>16577</v>
          </cell>
          <cell r="U267" t="e">
            <v>#DIV/0!</v>
          </cell>
          <cell r="V267" t="e">
            <v>#DIV/0!</v>
          </cell>
          <cell r="W267" t="str">
            <v>Соответствует</v>
          </cell>
          <cell r="X267">
            <v>0</v>
          </cell>
          <cell r="Y267">
            <v>0</v>
          </cell>
          <cell r="Z267" t="str">
            <v/>
          </cell>
          <cell r="AA267" t="str">
            <v/>
          </cell>
          <cell r="AB267" t="e">
            <v>#VALUE!</v>
          </cell>
          <cell r="AC267" t="str">
            <v>Не рассчитывалась</v>
          </cell>
          <cell r="AD267" t="str">
            <v>Не рассчитывалась</v>
          </cell>
          <cell r="AE267" t="str">
            <v>Не рассчитывалась</v>
          </cell>
          <cell r="AF267" t="e">
            <v>#VALUE!</v>
          </cell>
          <cell r="AG267">
            <v>0</v>
          </cell>
          <cell r="AH267" t="str">
            <v>будет использоваться</v>
          </cell>
          <cell r="AI267">
            <v>0</v>
          </cell>
          <cell r="AJ26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7">
            <v>16577</v>
          </cell>
          <cell r="AM267" t="str">
            <v>По сроку службы</v>
          </cell>
        </row>
        <row r="268">
          <cell r="A268">
            <v>342</v>
          </cell>
          <cell r="B268">
            <v>468</v>
          </cell>
          <cell r="C268" t="str">
            <v>Резервуар-(331)</v>
          </cell>
          <cell r="D268">
            <v>31761</v>
          </cell>
          <cell r="E268">
            <v>31761</v>
          </cell>
          <cell r="F268">
            <v>1200</v>
          </cell>
          <cell r="G268">
            <v>13.261762999999998</v>
          </cell>
          <cell r="H268">
            <v>15914.115599999997</v>
          </cell>
          <cell r="I268">
            <v>29.063013698630137</v>
          </cell>
          <cell r="J268" t="str">
            <v>Сталь</v>
          </cell>
          <cell r="K268">
            <v>0</v>
          </cell>
          <cell r="L268">
            <v>37</v>
          </cell>
          <cell r="M268">
            <v>0.7854868567197334</v>
          </cell>
          <cell r="N268">
            <v>0</v>
          </cell>
          <cell r="O268">
            <v>0</v>
          </cell>
          <cell r="P268">
            <v>0.7854868567197334</v>
          </cell>
          <cell r="Q268">
            <v>0</v>
          </cell>
          <cell r="R268" t="e">
            <v>#DIV/0!</v>
          </cell>
          <cell r="S268" t="str">
            <v>Не соответствует</v>
          </cell>
          <cell r="T268">
            <v>3414</v>
          </cell>
          <cell r="U268" t="e">
            <v>#DIV/0!</v>
          </cell>
          <cell r="V268" t="e">
            <v>#DIV/0!</v>
          </cell>
          <cell r="W268" t="str">
            <v>Соответствует</v>
          </cell>
          <cell r="X268">
            <v>0</v>
          </cell>
          <cell r="Y268">
            <v>0</v>
          </cell>
          <cell r="Z268" t="str">
            <v/>
          </cell>
          <cell r="AA268" t="str">
            <v/>
          </cell>
          <cell r="AB268" t="e">
            <v>#VALUE!</v>
          </cell>
          <cell r="AC268" t="str">
            <v>Не рассчитывалась</v>
          </cell>
          <cell r="AD268" t="str">
            <v>Не рассчитывалась</v>
          </cell>
          <cell r="AE268" t="str">
            <v>Не рассчитывалась</v>
          </cell>
          <cell r="AF268" t="e">
            <v>#VALUE!</v>
          </cell>
          <cell r="AG268">
            <v>0</v>
          </cell>
          <cell r="AH268" t="str">
            <v>будет использоваться</v>
          </cell>
          <cell r="AI268">
            <v>0</v>
          </cell>
          <cell r="AJ26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8">
            <v>3414</v>
          </cell>
          <cell r="AM268" t="str">
            <v>По сроку службы</v>
          </cell>
        </row>
        <row r="269">
          <cell r="A269">
            <v>343</v>
          </cell>
          <cell r="B269">
            <v>456</v>
          </cell>
          <cell r="C269" t="str">
            <v>Резервуар-(404)</v>
          </cell>
          <cell r="D269">
            <v>28855</v>
          </cell>
          <cell r="E269">
            <v>28855</v>
          </cell>
          <cell r="F269">
            <v>4400</v>
          </cell>
          <cell r="G269">
            <v>13.261762999999998</v>
          </cell>
          <cell r="H269">
            <v>58351.757199999993</v>
          </cell>
          <cell r="I269">
            <v>37.024657534246572</v>
          </cell>
          <cell r="J269" t="str">
            <v>Сталь</v>
          </cell>
          <cell r="K269">
            <v>0</v>
          </cell>
          <cell r="L269">
            <v>37</v>
          </cell>
          <cell r="M269">
            <v>0.8</v>
          </cell>
          <cell r="N269">
            <v>0</v>
          </cell>
          <cell r="O269">
            <v>0</v>
          </cell>
          <cell r="P269">
            <v>0.8</v>
          </cell>
          <cell r="Q269">
            <v>0</v>
          </cell>
          <cell r="R269" t="e">
            <v>#DIV/0!</v>
          </cell>
          <cell r="S269" t="str">
            <v>Не соответствует</v>
          </cell>
          <cell r="T269">
            <v>11670</v>
          </cell>
          <cell r="U269" t="e">
            <v>#DIV/0!</v>
          </cell>
          <cell r="V269" t="e">
            <v>#DIV/0!</v>
          </cell>
          <cell r="W269" t="str">
            <v>Соответствует</v>
          </cell>
          <cell r="X269">
            <v>0</v>
          </cell>
          <cell r="Y269">
            <v>0</v>
          </cell>
          <cell r="Z269" t="str">
            <v/>
          </cell>
          <cell r="AA269" t="str">
            <v/>
          </cell>
          <cell r="AB269" t="e">
            <v>#VALUE!</v>
          </cell>
          <cell r="AC269" t="str">
            <v>Не рассчитывалась</v>
          </cell>
          <cell r="AD269" t="str">
            <v>Не рассчитывалась</v>
          </cell>
          <cell r="AE269" t="str">
            <v>Не рассчитывалась</v>
          </cell>
          <cell r="AF269" t="e">
            <v>#VALUE!</v>
          </cell>
          <cell r="AG269">
            <v>0</v>
          </cell>
          <cell r="AH269" t="str">
            <v>будет использоваться</v>
          </cell>
          <cell r="AI269">
            <v>0</v>
          </cell>
          <cell r="AJ26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9">
            <v>11670</v>
          </cell>
          <cell r="AM269" t="str">
            <v>По сроку службы</v>
          </cell>
        </row>
        <row r="270">
          <cell r="A270">
            <v>344</v>
          </cell>
          <cell r="B270">
            <v>444</v>
          </cell>
          <cell r="C270" t="str">
            <v>Резервуар-325</v>
          </cell>
          <cell r="D270">
            <v>28839</v>
          </cell>
          <cell r="E270">
            <v>28839</v>
          </cell>
          <cell r="F270">
            <v>5000</v>
          </cell>
          <cell r="G270">
            <v>13.261762999999998</v>
          </cell>
          <cell r="H270">
            <v>66308.814999999988</v>
          </cell>
          <cell r="I270">
            <v>37.06849315068493</v>
          </cell>
          <cell r="J270" t="str">
            <v>Сталь</v>
          </cell>
          <cell r="K270">
            <v>0</v>
          </cell>
          <cell r="L270">
            <v>37</v>
          </cell>
          <cell r="M270">
            <v>0.8</v>
          </cell>
          <cell r="N270">
            <v>0</v>
          </cell>
          <cell r="O270">
            <v>0</v>
          </cell>
          <cell r="P270">
            <v>0.8</v>
          </cell>
          <cell r="Q270">
            <v>0</v>
          </cell>
          <cell r="R270" t="e">
            <v>#DIV/0!</v>
          </cell>
          <cell r="S270" t="str">
            <v>Не соответствует</v>
          </cell>
          <cell r="T270">
            <v>13262</v>
          </cell>
          <cell r="U270" t="e">
            <v>#DIV/0!</v>
          </cell>
          <cell r="V270" t="e">
            <v>#DIV/0!</v>
          </cell>
          <cell r="W270" t="str">
            <v>Соответствует</v>
          </cell>
          <cell r="X270">
            <v>0</v>
          </cell>
          <cell r="Y270">
            <v>0</v>
          </cell>
          <cell r="Z270" t="str">
            <v/>
          </cell>
          <cell r="AA270" t="str">
            <v/>
          </cell>
          <cell r="AB270" t="e">
            <v>#VALUE!</v>
          </cell>
          <cell r="AC270" t="str">
            <v>Не рассчитывалась</v>
          </cell>
          <cell r="AD270" t="str">
            <v>Не рассчитывалась</v>
          </cell>
          <cell r="AE270" t="str">
            <v>Не рассчитывалась</v>
          </cell>
          <cell r="AF270" t="e">
            <v>#VALUE!</v>
          </cell>
          <cell r="AG270">
            <v>0</v>
          </cell>
          <cell r="AH270" t="str">
            <v>будет использоваться</v>
          </cell>
          <cell r="AI270">
            <v>0</v>
          </cell>
          <cell r="AJ27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0">
            <v>13262</v>
          </cell>
          <cell r="AM270" t="str">
            <v>По сроку службы</v>
          </cell>
        </row>
        <row r="271">
          <cell r="A271">
            <v>345</v>
          </cell>
          <cell r="B271">
            <v>467</v>
          </cell>
          <cell r="C271" t="str">
            <v>Резервуар-481"а"</v>
          </cell>
          <cell r="D271">
            <v>28474</v>
          </cell>
          <cell r="E271">
            <v>28474</v>
          </cell>
          <cell r="F271">
            <v>6000</v>
          </cell>
          <cell r="G271">
            <v>13.261762999999998</v>
          </cell>
          <cell r="H271">
            <v>79570.577999999994</v>
          </cell>
          <cell r="I271">
            <v>38.06849315068493</v>
          </cell>
          <cell r="J271" t="str">
            <v>Сталь</v>
          </cell>
          <cell r="K271">
            <v>0</v>
          </cell>
          <cell r="L271">
            <v>37</v>
          </cell>
          <cell r="M271">
            <v>0.8</v>
          </cell>
          <cell r="N271">
            <v>0</v>
          </cell>
          <cell r="O271">
            <v>0</v>
          </cell>
          <cell r="P271">
            <v>0.8</v>
          </cell>
          <cell r="Q271">
            <v>0</v>
          </cell>
          <cell r="R271" t="e">
            <v>#DIV/0!</v>
          </cell>
          <cell r="S271" t="str">
            <v>Не соответствует</v>
          </cell>
          <cell r="T271">
            <v>15914</v>
          </cell>
          <cell r="U271" t="e">
            <v>#DIV/0!</v>
          </cell>
          <cell r="V271" t="e">
            <v>#DIV/0!</v>
          </cell>
          <cell r="W271" t="str">
            <v>Соответствует</v>
          </cell>
          <cell r="X271">
            <v>0</v>
          </cell>
          <cell r="Y271">
            <v>0</v>
          </cell>
          <cell r="Z271" t="str">
            <v/>
          </cell>
          <cell r="AA271" t="str">
            <v/>
          </cell>
          <cell r="AB271" t="e">
            <v>#VALUE!</v>
          </cell>
          <cell r="AC271" t="str">
            <v>Не рассчитывалась</v>
          </cell>
          <cell r="AD271" t="str">
            <v>Не рассчитывалась</v>
          </cell>
          <cell r="AE271" t="str">
            <v>Не рассчитывалась</v>
          </cell>
          <cell r="AF271" t="e">
            <v>#VALUE!</v>
          </cell>
          <cell r="AG271">
            <v>0</v>
          </cell>
          <cell r="AH271" t="str">
            <v>будет использоваться</v>
          </cell>
          <cell r="AI271">
            <v>0</v>
          </cell>
          <cell r="AJ27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1">
            <v>15914</v>
          </cell>
          <cell r="AM271" t="str">
            <v>По сроку службы</v>
          </cell>
        </row>
        <row r="272">
          <cell r="A272">
            <v>346</v>
          </cell>
          <cell r="B272" t="str">
            <v>Ц00003208</v>
          </cell>
          <cell r="C272" t="str">
            <v>Сенажная башня 1 (Литер К, S=73) (НП МТФ№3)</v>
          </cell>
          <cell r="D272">
            <v>41913</v>
          </cell>
          <cell r="E272">
            <v>41913</v>
          </cell>
          <cell r="F272">
            <v>29587.93</v>
          </cell>
          <cell r="G272">
            <v>0.98663458968190321</v>
          </cell>
          <cell r="H272">
            <v>29192.475175086875</v>
          </cell>
          <cell r="I272">
            <v>1.2493150684931507</v>
          </cell>
          <cell r="J272" t="str">
            <v>бетон</v>
          </cell>
          <cell r="K272">
            <v>0</v>
          </cell>
          <cell r="L272">
            <v>50</v>
          </cell>
          <cell r="M272">
            <v>2.4986301369863014E-2</v>
          </cell>
          <cell r="N272">
            <v>0</v>
          </cell>
          <cell r="O272">
            <v>0</v>
          </cell>
          <cell r="P272">
            <v>2.4986301369863018E-2</v>
          </cell>
          <cell r="Q272">
            <v>0</v>
          </cell>
          <cell r="R272">
            <v>0</v>
          </cell>
          <cell r="S272" t="str">
            <v>Не соответствует</v>
          </cell>
          <cell r="T272">
            <v>28463</v>
          </cell>
          <cell r="U272">
            <v>389.90410958904107</v>
          </cell>
          <cell r="V272" t="e">
            <v>#DIV/0!</v>
          </cell>
          <cell r="W272" t="str">
            <v>Не соответствует</v>
          </cell>
          <cell r="X272">
            <v>0</v>
          </cell>
          <cell r="Y272">
            <v>0</v>
          </cell>
          <cell r="Z272" t="str">
            <v/>
          </cell>
          <cell r="AA272" t="str">
            <v/>
          </cell>
          <cell r="AB272" t="e">
            <v>#VALUE!</v>
          </cell>
          <cell r="AC272" t="str">
            <v>Не рассчитывалась</v>
          </cell>
          <cell r="AD272">
            <v>1180885</v>
          </cell>
          <cell r="AE272">
            <v>16176.506849315068</v>
          </cell>
          <cell r="AF272" t="e">
            <v>#DIV/0!</v>
          </cell>
          <cell r="AG272">
            <v>73</v>
          </cell>
          <cell r="AH272" t="str">
            <v>будет использоваться</v>
          </cell>
          <cell r="AI272" t="str">
            <v>Уточнить состояние по фото</v>
          </cell>
          <cell r="AJ272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2">
            <v>1180885</v>
          </cell>
          <cell r="AM272" t="str">
            <v>Ко-Инвест</v>
          </cell>
        </row>
        <row r="273">
          <cell r="A273">
            <v>347</v>
          </cell>
          <cell r="B273" t="str">
            <v>Ц00003210</v>
          </cell>
          <cell r="C273" t="str">
            <v>Сенажная башня 3 (Литер Н, S=73) (НП МТФ№3)</v>
          </cell>
          <cell r="D273">
            <v>41913</v>
          </cell>
          <cell r="E273">
            <v>41913</v>
          </cell>
          <cell r="F273">
            <v>47201.19</v>
          </cell>
          <cell r="G273">
            <v>0.98663458968190321</v>
          </cell>
          <cell r="H273">
            <v>46570.326728147556</v>
          </cell>
          <cell r="I273">
            <v>1.2493150684931507</v>
          </cell>
          <cell r="J273" t="str">
            <v>бетон</v>
          </cell>
          <cell r="K273">
            <v>0</v>
          </cell>
          <cell r="L273">
            <v>50</v>
          </cell>
          <cell r="M273">
            <v>2.4986301369863014E-2</v>
          </cell>
          <cell r="N273">
            <v>0</v>
          </cell>
          <cell r="O273">
            <v>0</v>
          </cell>
          <cell r="P273">
            <v>2.4986301369863018E-2</v>
          </cell>
          <cell r="Q273">
            <v>0</v>
          </cell>
          <cell r="R273">
            <v>0</v>
          </cell>
          <cell r="S273" t="str">
            <v>Не соответствует</v>
          </cell>
          <cell r="T273">
            <v>45407</v>
          </cell>
          <cell r="U273">
            <v>622.01369863013701</v>
          </cell>
          <cell r="V273" t="e">
            <v>#DIV/0!</v>
          </cell>
          <cell r="W273" t="str">
            <v>Не соответствует</v>
          </cell>
          <cell r="X273">
            <v>0</v>
          </cell>
          <cell r="Y273">
            <v>0</v>
          </cell>
          <cell r="Z273" t="str">
            <v/>
          </cell>
          <cell r="AA273" t="str">
            <v/>
          </cell>
          <cell r="AB273" t="e">
            <v>#VALUE!</v>
          </cell>
          <cell r="AC273" t="str">
            <v>Не рассчитывалась</v>
          </cell>
          <cell r="AD273">
            <v>1180885</v>
          </cell>
          <cell r="AE273">
            <v>16176.506849315068</v>
          </cell>
          <cell r="AF273" t="e">
            <v>#DIV/0!</v>
          </cell>
          <cell r="AG273">
            <v>73</v>
          </cell>
          <cell r="AH273" t="str">
            <v>будет использоваться</v>
          </cell>
          <cell r="AI273" t="str">
            <v>Уточнить состояние по фото</v>
          </cell>
          <cell r="AJ273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3">
            <v>1180885</v>
          </cell>
          <cell r="AM273" t="str">
            <v>Ко-Инвест</v>
          </cell>
        </row>
        <row r="274">
          <cell r="A274">
            <v>348</v>
          </cell>
          <cell r="B274" t="str">
            <v>Ц00002245</v>
          </cell>
          <cell r="C274" t="str">
            <v>Силосная траншея Об.пл. 2142кв.м. ЛитерГ5  Кад№ 23:24:0701000:739 (НП  МТФ№3)</v>
          </cell>
          <cell r="D274">
            <v>41934</v>
          </cell>
          <cell r="E274">
            <v>41934</v>
          </cell>
          <cell r="F274">
            <v>31725.06</v>
          </cell>
          <cell r="G274">
            <v>0.98663458968190321</v>
          </cell>
          <cell r="H274">
            <v>31301.041555733762</v>
          </cell>
          <cell r="I274">
            <v>1.1917808219178083</v>
          </cell>
          <cell r="J274" t="str">
            <v>бетонные плиты</v>
          </cell>
          <cell r="K274">
            <v>0</v>
          </cell>
          <cell r="L274">
            <v>45</v>
          </cell>
          <cell r="M274">
            <v>2.6484018264840186E-2</v>
          </cell>
          <cell r="N274">
            <v>0</v>
          </cell>
          <cell r="O274">
            <v>0</v>
          </cell>
          <cell r="P274">
            <v>2.6484018264840148E-2</v>
          </cell>
          <cell r="Q274">
            <v>30249.460000000003</v>
          </cell>
          <cell r="R274">
            <v>14.122063492063493</v>
          </cell>
          <cell r="S274" t="str">
            <v>Соответствует</v>
          </cell>
          <cell r="T274">
            <v>30472</v>
          </cell>
          <cell r="U274">
            <v>14.22595704948646</v>
          </cell>
          <cell r="V274">
            <v>1.0073568255433318</v>
          </cell>
          <cell r="W274" t="str">
            <v>Соответствует</v>
          </cell>
          <cell r="X274" t="str">
            <v>удовлетворительное</v>
          </cell>
          <cell r="Y274">
            <v>0.5</v>
          </cell>
          <cell r="Z274">
            <v>15650.520777866881</v>
          </cell>
          <cell r="AA274">
            <v>7.30649896258958</v>
          </cell>
          <cell r="AB274">
            <v>0.51738182360501239</v>
          </cell>
          <cell r="AC274" t="str">
            <v>Соответствует</v>
          </cell>
          <cell r="AD274" t="str">
            <v>Не рассчитывалась</v>
          </cell>
          <cell r="AE274" t="str">
            <v>Не рассчитывалась</v>
          </cell>
          <cell r="AF274" t="e">
            <v>#VALUE!</v>
          </cell>
          <cell r="AG274">
            <v>2142</v>
          </cell>
          <cell r="AH274">
            <v>0</v>
          </cell>
          <cell r="AI274">
            <v>0</v>
          </cell>
          <cell r="AL274">
            <v>30472</v>
          </cell>
          <cell r="AM274" t="str">
            <v>По сроку службы</v>
          </cell>
        </row>
        <row r="275">
          <cell r="A275">
            <v>350</v>
          </cell>
          <cell r="B275" t="str">
            <v>Ц00003896</v>
          </cell>
          <cell r="C275" t="str">
            <v>Скважина водозаборная №7516  Кад№ 23:11:0607000:2760  Высота 374м (МТФ №1) (КС)</v>
          </cell>
          <cell r="D275">
            <v>42034</v>
          </cell>
          <cell r="E275">
            <v>42034</v>
          </cell>
          <cell r="F275">
            <v>1994915.25</v>
          </cell>
          <cell r="G275">
            <v>0.98755852842809366</v>
          </cell>
          <cell r="H275">
            <v>1970095.5686287626</v>
          </cell>
          <cell r="I275">
            <v>0.9178082191780822</v>
          </cell>
          <cell r="J275" t="str">
            <v>стальная</v>
          </cell>
          <cell r="K275">
            <v>0</v>
          </cell>
          <cell r="L275">
            <v>15</v>
          </cell>
          <cell r="M275">
            <v>6.1187214611872147E-2</v>
          </cell>
          <cell r="N275">
            <v>0</v>
          </cell>
          <cell r="O275">
            <v>0</v>
          </cell>
          <cell r="P275">
            <v>6.1187214611872154E-2</v>
          </cell>
          <cell r="Q275">
            <v>1401832.3199999998</v>
          </cell>
          <cell r="R275" t="e">
            <v>#DIV/0!</v>
          </cell>
          <cell r="S275" t="str">
            <v>Соответствует</v>
          </cell>
          <cell r="T275">
            <v>1849551</v>
          </cell>
          <cell r="U275" t="e">
            <v>#DIV/0!</v>
          </cell>
          <cell r="V275">
            <v>1.3193810512230166</v>
          </cell>
          <cell r="W275" t="str">
            <v>Соответствует</v>
          </cell>
          <cell r="X275" t="str">
            <v>отличное</v>
          </cell>
          <cell r="Y275">
            <v>0.05</v>
          </cell>
          <cell r="Z275">
            <v>1871590.7901973245</v>
          </cell>
          <cell r="AA275" t="e">
            <v>#DIV/0!</v>
          </cell>
          <cell r="AB275">
            <v>1.3351031813828667</v>
          </cell>
          <cell r="AC275" t="str">
            <v>Соответствует</v>
          </cell>
          <cell r="AD275" t="str">
            <v>Не рассчитывалась</v>
          </cell>
          <cell r="AE275" t="str">
            <v>Не рассчитывалась</v>
          </cell>
          <cell r="AF275" t="e">
            <v>#VALUE!</v>
          </cell>
          <cell r="AG275">
            <v>0</v>
          </cell>
          <cell r="AH275">
            <v>0</v>
          </cell>
          <cell r="AI275">
            <v>0</v>
          </cell>
          <cell r="AL275">
            <v>1849551</v>
          </cell>
          <cell r="AM275" t="str">
            <v>По сроку службы</v>
          </cell>
        </row>
        <row r="276">
          <cell r="A276">
            <v>351</v>
          </cell>
          <cell r="B276" t="str">
            <v>Ц00001304</v>
          </cell>
          <cell r="C276" t="str">
            <v>Сооружение нежилое Об.пл.1354,3 кв.м. ЛитерИ Кад№ 23:11:0902000:261 (Силосохранилище №1) (КС  МТФ№1)</v>
          </cell>
          <cell r="D276">
            <v>41898</v>
          </cell>
          <cell r="E276">
            <v>41898</v>
          </cell>
          <cell r="F276">
            <v>2013971.61</v>
          </cell>
          <cell r="G276">
            <v>0.98151841510437443</v>
          </cell>
          <cell r="H276">
            <v>1976750.2227124055</v>
          </cell>
          <cell r="I276">
            <v>1.2904109589041095</v>
          </cell>
          <cell r="J276" t="str">
            <v>ж/б плиты</v>
          </cell>
          <cell r="K276">
            <v>0</v>
          </cell>
          <cell r="L276">
            <v>45</v>
          </cell>
          <cell r="M276">
            <v>2.8675799086757988E-2</v>
          </cell>
          <cell r="N276">
            <v>0</v>
          </cell>
          <cell r="O276">
            <v>0</v>
          </cell>
          <cell r="P276">
            <v>2.8675799086757991E-2</v>
          </cell>
          <cell r="Q276">
            <v>1658564.9100000001</v>
          </cell>
          <cell r="R276">
            <v>1224.6658125969136</v>
          </cell>
          <cell r="S276" t="str">
            <v>Соответствует</v>
          </cell>
          <cell r="T276">
            <v>1920065</v>
          </cell>
          <cell r="U276">
            <v>1417.7545595510596</v>
          </cell>
          <cell r="V276">
            <v>1.15766647926972</v>
          </cell>
          <cell r="W276" t="str">
            <v>Соответствует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e">
            <v>#VALUE!</v>
          </cell>
          <cell r="AC276" t="str">
            <v>Не рассчитывалась</v>
          </cell>
          <cell r="AD276">
            <v>43661347</v>
          </cell>
          <cell r="AE276">
            <v>32239.051170346305</v>
          </cell>
          <cell r="AF276">
            <v>26.324774349651467</v>
          </cell>
          <cell r="AG276">
            <v>1354.3</v>
          </cell>
          <cell r="AH276">
            <v>0</v>
          </cell>
          <cell r="AI276">
            <v>0</v>
          </cell>
          <cell r="AJ27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6">
            <v>1920065</v>
          </cell>
          <cell r="AM276" t="str">
            <v>По сроку службы</v>
          </cell>
        </row>
        <row r="277">
          <cell r="A277">
            <v>352</v>
          </cell>
          <cell r="B277" t="str">
            <v>Ц00001305</v>
          </cell>
          <cell r="C277" t="str">
            <v>Сооружение нежилое Об.пл.1365,3 кв.м. ЛитерК Кад№ 23:11:0902000:263 (Силосохранилище №2) (КС  МТФ№1)</v>
          </cell>
          <cell r="D277">
            <v>41898</v>
          </cell>
          <cell r="E277">
            <v>41898</v>
          </cell>
          <cell r="F277">
            <v>2013971.99</v>
          </cell>
          <cell r="G277">
            <v>0.98151841510437443</v>
          </cell>
          <cell r="H277">
            <v>1976750.5956894031</v>
          </cell>
          <cell r="I277">
            <v>1.2904109589041095</v>
          </cell>
          <cell r="J277" t="str">
            <v>ж/б плиты</v>
          </cell>
          <cell r="K277">
            <v>0</v>
          </cell>
          <cell r="L277">
            <v>45</v>
          </cell>
          <cell r="M277">
            <v>2.8675799086757988E-2</v>
          </cell>
          <cell r="N277">
            <v>0</v>
          </cell>
          <cell r="O277">
            <v>0</v>
          </cell>
          <cell r="P277">
            <v>2.8675799086757991E-2</v>
          </cell>
          <cell r="Q277">
            <v>1658565.1400000001</v>
          </cell>
          <cell r="R277">
            <v>1214.7990478283164</v>
          </cell>
          <cell r="S277" t="str">
            <v>Соответствует</v>
          </cell>
          <cell r="T277">
            <v>1920066</v>
          </cell>
          <cell r="U277">
            <v>1406.3326741375522</v>
          </cell>
          <cell r="V277">
            <v>1.1576669216621784</v>
          </cell>
          <cell r="W277" t="str">
            <v>Соответствует</v>
          </cell>
          <cell r="X277">
            <v>0</v>
          </cell>
          <cell r="Y277">
            <v>0</v>
          </cell>
          <cell r="Z277" t="str">
            <v/>
          </cell>
          <cell r="AA277" t="str">
            <v/>
          </cell>
          <cell r="AB277" t="e">
            <v>#VALUE!</v>
          </cell>
          <cell r="AC277" t="str">
            <v>Не рассчитывалась</v>
          </cell>
          <cell r="AD277">
            <v>44017134</v>
          </cell>
          <cell r="AE277">
            <v>32239.898923313558</v>
          </cell>
          <cell r="AF277">
            <v>26.539285638187234</v>
          </cell>
          <cell r="AG277">
            <v>1365.3</v>
          </cell>
          <cell r="AH277">
            <v>0</v>
          </cell>
          <cell r="AI277">
            <v>0</v>
          </cell>
          <cell r="AJ27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7">
            <v>1920066</v>
          </cell>
          <cell r="AM277" t="str">
            <v>По сроку службы</v>
          </cell>
        </row>
        <row r="278">
          <cell r="A278">
            <v>353</v>
          </cell>
          <cell r="B278">
            <v>429</v>
          </cell>
          <cell r="C278" t="str">
            <v>Цех по производству тротуарной плитки  55 СМУ</v>
          </cell>
          <cell r="D278">
            <v>37605</v>
          </cell>
          <cell r="E278">
            <v>0</v>
          </cell>
          <cell r="F278">
            <v>53624</v>
          </cell>
          <cell r="G278">
            <v>4.5511713933415532</v>
          </cell>
          <cell r="H278">
            <v>244052.01479654745</v>
          </cell>
          <cell r="I278">
            <v>13.052054794520547</v>
          </cell>
          <cell r="J278" t="str">
            <v>Кирпич</v>
          </cell>
          <cell r="K278">
            <v>0</v>
          </cell>
          <cell r="L278">
            <v>60</v>
          </cell>
          <cell r="M278">
            <v>0.21753424657534245</v>
          </cell>
          <cell r="N278">
            <v>0</v>
          </cell>
          <cell r="O278">
            <v>0</v>
          </cell>
          <cell r="P278">
            <v>0.21753424657534248</v>
          </cell>
          <cell r="Q278">
            <v>36195.96</v>
          </cell>
          <cell r="R278" t="e">
            <v>#DIV/0!</v>
          </cell>
          <cell r="S278">
            <v>0</v>
          </cell>
          <cell r="T278">
            <v>190962</v>
          </cell>
          <cell r="U278" t="e">
            <v>#DIV/0!</v>
          </cell>
          <cell r="V278">
            <v>5.2757821591138905</v>
          </cell>
          <cell r="W278">
            <v>0</v>
          </cell>
          <cell r="X278">
            <v>0</v>
          </cell>
          <cell r="Y278">
            <v>0</v>
          </cell>
          <cell r="Z278" t="str">
            <v/>
          </cell>
          <cell r="AA278" t="str">
            <v/>
          </cell>
          <cell r="AB278" t="e">
            <v>#VALUE!</v>
          </cell>
          <cell r="AC278">
            <v>0</v>
          </cell>
          <cell r="AD278" t="str">
            <v>Не рассчитывалась</v>
          </cell>
          <cell r="AE278" t="str">
            <v>Не рассчитывалась</v>
          </cell>
          <cell r="AF278" t="e">
            <v>#VALUE!</v>
          </cell>
          <cell r="AG278">
            <v>0</v>
          </cell>
          <cell r="AH278" t="str">
            <v>не будет использоваться</v>
          </cell>
          <cell r="AI278">
            <v>0</v>
          </cell>
          <cell r="AL278">
            <v>0</v>
          </cell>
          <cell r="AM278" t="str">
            <v>Не рассчитывалась</v>
          </cell>
        </row>
        <row r="279">
          <cell r="A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L279">
            <v>0</v>
          </cell>
          <cell r="AM279">
            <v>0</v>
          </cell>
        </row>
        <row r="280">
          <cell r="A280">
            <v>13</v>
          </cell>
          <cell r="B280" t="str">
            <v>Р00008272</v>
          </cell>
          <cell r="C280" t="str">
            <v>Доильный зал  МТФ №3  Литер Ф Об.пл. 621,4 кв.м. Кад№ 23:11:0702000:791</v>
          </cell>
          <cell r="D280">
            <v>40381</v>
          </cell>
          <cell r="E280">
            <v>40381</v>
          </cell>
          <cell r="F280">
            <v>10151591.279999999</v>
          </cell>
          <cell r="G280">
            <v>1.4577409162717219</v>
          </cell>
          <cell r="H280">
            <v>14798389.974123221</v>
          </cell>
          <cell r="I280">
            <v>5.4465753424657537</v>
          </cell>
          <cell r="J280" t="str">
            <v>поликарбонат</v>
          </cell>
          <cell r="K280" t="str">
            <v>КС-6</v>
          </cell>
          <cell r="L280">
            <v>35</v>
          </cell>
          <cell r="M280">
            <v>0.1556164383561644</v>
          </cell>
          <cell r="N280">
            <v>0</v>
          </cell>
          <cell r="O280">
            <v>0</v>
          </cell>
          <cell r="P280">
            <v>0.15561643835616445</v>
          </cell>
          <cell r="Q280">
            <v>8776909.3300000001</v>
          </cell>
          <cell r="R280">
            <v>19504.242955555557</v>
          </cell>
          <cell r="S280" t="str">
            <v>Соответствует</v>
          </cell>
          <cell r="T280">
            <v>12495517</v>
          </cell>
          <cell r="U280">
            <v>27767.815555555557</v>
          </cell>
          <cell r="V280">
            <v>1.4236807662225217</v>
          </cell>
          <cell r="W280" t="str">
            <v>Соответствует</v>
          </cell>
          <cell r="X280" t="str">
            <v>отличное</v>
          </cell>
          <cell r="Y280">
            <v>0.1</v>
          </cell>
          <cell r="Z280">
            <v>13318550.976710899</v>
          </cell>
          <cell r="AA280">
            <v>29596.779948246443</v>
          </cell>
          <cell r="AB280">
            <v>1.5174534082501339</v>
          </cell>
          <cell r="AC280" t="str">
            <v>Соответствует</v>
          </cell>
          <cell r="AD280">
            <v>64856578</v>
          </cell>
          <cell r="AE280">
            <v>144125.7288888889</v>
          </cell>
          <cell r="AF280">
            <v>7.3894551671299995</v>
          </cell>
          <cell r="AG280">
            <v>450</v>
          </cell>
          <cell r="AH280">
            <v>0</v>
          </cell>
          <cell r="AI280" t="str">
            <v>уточнить</v>
          </cell>
          <cell r="AL280">
            <v>12495517</v>
          </cell>
          <cell r="AM280" t="str">
            <v>По сроку службы</v>
          </cell>
        </row>
        <row r="281">
          <cell r="A281">
            <v>14</v>
          </cell>
          <cell r="B281">
            <v>570</v>
          </cell>
          <cell r="C281" t="str">
            <v>Доильный зал МТФ №5  Литер Д Об.пл. 1074,7 кв.м. Кад№  23:11:0702000:792</v>
          </cell>
          <cell r="D281">
            <v>40162</v>
          </cell>
          <cell r="E281">
            <v>40162</v>
          </cell>
          <cell r="F281">
            <v>11153265.390000001</v>
          </cell>
          <cell r="G281">
            <v>1.6231310466138962</v>
          </cell>
          <cell r="H281">
            <v>18103211.325633246</v>
          </cell>
          <cell r="I281">
            <v>6.0465753424657533</v>
          </cell>
          <cell r="J281" t="str">
            <v>бетонные</v>
          </cell>
          <cell r="K281" t="str">
            <v>КС-3</v>
          </cell>
          <cell r="L281">
            <v>50</v>
          </cell>
          <cell r="M281">
            <v>0.12093150684931507</v>
          </cell>
          <cell r="N281">
            <v>0</v>
          </cell>
          <cell r="O281">
            <v>0</v>
          </cell>
          <cell r="P281">
            <v>0.12093150684931508</v>
          </cell>
          <cell r="Q281">
            <v>8364948.9900000002</v>
          </cell>
          <cell r="R281">
            <v>7783.5200428026428</v>
          </cell>
          <cell r="S281" t="str">
            <v>Не соответствует</v>
          </cell>
          <cell r="T281">
            <v>15913963</v>
          </cell>
          <cell r="U281">
            <v>14807.818926211965</v>
          </cell>
          <cell r="V281">
            <v>1.9024578654364275</v>
          </cell>
          <cell r="W281" t="str">
            <v>Соответствует</v>
          </cell>
          <cell r="X281" t="str">
            <v>отличное</v>
          </cell>
          <cell r="Y281">
            <v>0.1</v>
          </cell>
          <cell r="Z281">
            <v>16292890.193069922</v>
          </cell>
          <cell r="AA281">
            <v>15160.407735246972</v>
          </cell>
          <cell r="AB281">
            <v>1.9477572681611679</v>
          </cell>
          <cell r="AC281" t="str">
            <v>Соответствует</v>
          </cell>
          <cell r="AD281">
            <v>33938444</v>
          </cell>
          <cell r="AE281">
            <v>31579.458453521911</v>
          </cell>
          <cell r="AF281">
            <v>4.0572206764885479</v>
          </cell>
          <cell r="AG281">
            <v>1074.7</v>
          </cell>
          <cell r="AH281">
            <v>0</v>
          </cell>
          <cell r="AI281" t="str">
            <v>уточнить</v>
          </cell>
          <cell r="AL281">
            <v>15913963</v>
          </cell>
          <cell r="AM281" t="str">
            <v>По сроку службы</v>
          </cell>
        </row>
        <row r="282">
          <cell r="A282">
            <v>15</v>
          </cell>
          <cell r="B282" t="str">
            <v>Ц00001324</v>
          </cell>
          <cell r="C282" t="str">
            <v>Доильный зал на МТФ№1 Об.пл. 1154,5 кв.м. Литер Ж Кад№ 23:11:0902000:259 (КС  МТФ№1)</v>
          </cell>
          <cell r="D282">
            <v>41898</v>
          </cell>
          <cell r="E282">
            <v>41898</v>
          </cell>
          <cell r="F282">
            <v>6546692.3700000001</v>
          </cell>
          <cell r="G282">
            <v>0.98151841510437443</v>
          </cell>
          <cell r="H282">
            <v>6425699.1191783007</v>
          </cell>
          <cell r="I282">
            <v>1.2904109589041095</v>
          </cell>
          <cell r="J282" t="str">
            <v>кирпичные</v>
          </cell>
          <cell r="K282" t="str">
            <v>КС-1</v>
          </cell>
          <cell r="L282">
            <v>60</v>
          </cell>
          <cell r="M282">
            <v>2.150684931506849E-2</v>
          </cell>
          <cell r="N282">
            <v>0</v>
          </cell>
          <cell r="O282">
            <v>0</v>
          </cell>
          <cell r="P282">
            <v>2.1506849315068521E-2</v>
          </cell>
          <cell r="Q282">
            <v>6004148.8200000003</v>
          </cell>
          <cell r="R282">
            <v>5200.6486097877869</v>
          </cell>
          <cell r="S282" t="str">
            <v>Соответствует</v>
          </cell>
          <cell r="T282">
            <v>6287503</v>
          </cell>
          <cell r="U282">
            <v>5446.0831528800345</v>
          </cell>
          <cell r="V282">
            <v>1.0471930640786482</v>
          </cell>
          <cell r="W282" t="str">
            <v>Соответствует</v>
          </cell>
          <cell r="X282" t="str">
            <v>отличное</v>
          </cell>
          <cell r="Y282">
            <v>0.05</v>
          </cell>
          <cell r="Z282">
            <v>6104414.1632193858</v>
          </cell>
          <cell r="AA282">
            <v>5287.4960270414776</v>
          </cell>
          <cell r="AB282">
            <v>1.0166993434415548</v>
          </cell>
          <cell r="AC282" t="str">
            <v>Соответствует</v>
          </cell>
          <cell r="AD282">
            <v>28736691</v>
          </cell>
          <cell r="AE282">
            <v>24891.027284538763</v>
          </cell>
          <cell r="AF282">
            <v>4.7861390284460006</v>
          </cell>
          <cell r="AG282">
            <v>1154.5</v>
          </cell>
          <cell r="AH282">
            <v>0</v>
          </cell>
          <cell r="AI282">
            <v>0</v>
          </cell>
          <cell r="AL282">
            <v>6104414.1632193858</v>
          </cell>
          <cell r="AM282" t="str">
            <v>Экспертно</v>
          </cell>
        </row>
        <row r="283">
          <cell r="A283">
            <v>23</v>
          </cell>
          <cell r="B283">
            <v>425</v>
          </cell>
          <cell r="C283" t="str">
            <v>Здание конторы Об.пл 525,6 кв.м. (Контора ОАО"РОДИНА"  Литер А)  Кад№ 23:11:0701033:2</v>
          </cell>
          <cell r="D283">
            <v>23726</v>
          </cell>
          <cell r="E283">
            <v>23726</v>
          </cell>
          <cell r="F283">
            <v>4991930.62</v>
          </cell>
          <cell r="G283">
            <v>13.261762999999998</v>
          </cell>
          <cell r="H283">
            <v>66201800.79488305</v>
          </cell>
          <cell r="I283">
            <v>51.076712328767123</v>
          </cell>
          <cell r="J283" t="str">
            <v>каменные</v>
          </cell>
          <cell r="K283" t="str">
            <v>КС-1</v>
          </cell>
          <cell r="L283">
            <v>60</v>
          </cell>
          <cell r="M283">
            <v>0.8</v>
          </cell>
          <cell r="N283">
            <v>0</v>
          </cell>
          <cell r="O283">
            <v>0</v>
          </cell>
          <cell r="P283">
            <v>0.8</v>
          </cell>
          <cell r="Q283">
            <v>4535265.58</v>
          </cell>
          <cell r="R283">
            <v>8628.739687975647</v>
          </cell>
          <cell r="S283" t="str">
            <v>Не соответствует</v>
          </cell>
          <cell r="T283">
            <v>13240360</v>
          </cell>
          <cell r="U283">
            <v>25190.943683409434</v>
          </cell>
          <cell r="V283">
            <v>2.9194232986902611</v>
          </cell>
          <cell r="W283" t="str">
            <v>Соответствует</v>
          </cell>
          <cell r="X283" t="str">
            <v>хорошее</v>
          </cell>
          <cell r="Y283">
            <v>0.2</v>
          </cell>
          <cell r="Z283">
            <v>52961440.635906443</v>
          </cell>
          <cell r="AA283">
            <v>100763.7759435054</v>
          </cell>
          <cell r="AB283">
            <v>11.67769333497476</v>
          </cell>
          <cell r="AC283" t="str">
            <v>Не соответствует</v>
          </cell>
          <cell r="AD283">
            <v>2251236</v>
          </cell>
          <cell r="AE283">
            <v>4283.1735159817354</v>
          </cell>
          <cell r="AF283">
            <v>0.49638460202368129</v>
          </cell>
          <cell r="AG283">
            <v>525.6</v>
          </cell>
          <cell r="AH283">
            <v>0</v>
          </cell>
          <cell r="AI283" t="str">
            <v>уточнить</v>
          </cell>
          <cell r="AL283">
            <v>13240360</v>
          </cell>
          <cell r="AM283" t="str">
            <v>По сроку службы</v>
          </cell>
        </row>
        <row r="284">
          <cell r="A284">
            <v>24</v>
          </cell>
          <cell r="B284" t="str">
            <v>Ц00001306</v>
          </cell>
          <cell r="C284" t="str">
            <v>Здание корпус №1 Об.пл. 2216,9 кв.м.  Литер Б Кад№ 23:11:0902000:1790 (Коровник №1) (КС  МТФ№1)</v>
          </cell>
          <cell r="D284">
            <v>41898</v>
          </cell>
          <cell r="E284">
            <v>41898</v>
          </cell>
          <cell r="F284">
            <v>2555917.25</v>
          </cell>
          <cell r="G284">
            <v>0.98151841510437443</v>
          </cell>
          <cell r="H284">
            <v>2508679.8483579312</v>
          </cell>
          <cell r="I284">
            <v>1.2904109589041095</v>
          </cell>
          <cell r="J284" t="str">
            <v>ж/б панели</v>
          </cell>
          <cell r="K284" t="str">
            <v>КС-3</v>
          </cell>
          <cell r="L284">
            <v>50</v>
          </cell>
          <cell r="M284">
            <v>2.5808219178082192E-2</v>
          </cell>
          <cell r="N284">
            <v>0</v>
          </cell>
          <cell r="O284">
            <v>0</v>
          </cell>
          <cell r="P284">
            <v>2.5808219178082181E-2</v>
          </cell>
          <cell r="Q284">
            <v>2344100.9</v>
          </cell>
          <cell r="R284">
            <v>1057.3778248906128</v>
          </cell>
          <cell r="S284" t="str">
            <v>Соответствует</v>
          </cell>
          <cell r="T284">
            <v>2443935</v>
          </cell>
          <cell r="U284">
            <v>1102.4110244034462</v>
          </cell>
          <cell r="V284">
            <v>1.0425895062793586</v>
          </cell>
          <cell r="W284" t="str">
            <v>Соответствует</v>
          </cell>
          <cell r="X284" t="str">
            <v>хорошее</v>
          </cell>
          <cell r="Y284">
            <v>0.2</v>
          </cell>
          <cell r="Z284">
            <v>2006943.8786863452</v>
          </cell>
          <cell r="AA284">
            <v>905.29292195694222</v>
          </cell>
          <cell r="AB284">
            <v>0.8561678717355321</v>
          </cell>
          <cell r="AC284" t="str">
            <v>Не соответствует</v>
          </cell>
          <cell r="AD284">
            <v>26895090</v>
          </cell>
          <cell r="AE284">
            <v>12131.84627182101</v>
          </cell>
          <cell r="AF284">
            <v>11.473520615089564</v>
          </cell>
          <cell r="AG284">
            <v>2216.9</v>
          </cell>
          <cell r="AH284">
            <v>0</v>
          </cell>
          <cell r="AI284">
            <v>0</v>
          </cell>
          <cell r="AL284">
            <v>2443935</v>
          </cell>
          <cell r="AM284" t="str">
            <v>По сроку службы</v>
          </cell>
        </row>
        <row r="285">
          <cell r="A285">
            <v>29</v>
          </cell>
          <cell r="B285" t="str">
            <v>Ц00001318</v>
          </cell>
          <cell r="C285" t="str">
            <v>Здание нежилое Об.пл. 1411 кв.м. Литер Л Кад№ 23:11:0902000:278 (Коровник №5)  (КС  МТФ№1)</v>
          </cell>
          <cell r="D285">
            <v>41898</v>
          </cell>
          <cell r="E285">
            <v>41898</v>
          </cell>
          <cell r="F285">
            <v>7337364.4100000001</v>
          </cell>
          <cell r="G285">
            <v>0.98151841510437443</v>
          </cell>
          <cell r="H285">
            <v>7201758.2867464432</v>
          </cell>
          <cell r="I285">
            <v>1.2904109589041095</v>
          </cell>
          <cell r="J285" t="str">
            <v>металлические</v>
          </cell>
          <cell r="K285" t="str">
            <v>КС-5</v>
          </cell>
          <cell r="L285">
            <v>40</v>
          </cell>
          <cell r="M285">
            <v>3.226027397260274E-2</v>
          </cell>
          <cell r="N285">
            <v>0</v>
          </cell>
          <cell r="O285">
            <v>0</v>
          </cell>
          <cell r="P285">
            <v>3.2260273972602782E-2</v>
          </cell>
          <cell r="Q285">
            <v>7032487.7599999998</v>
          </cell>
          <cell r="R285">
            <v>4984.0451878100639</v>
          </cell>
          <cell r="S285" t="str">
            <v>Соответствует</v>
          </cell>
          <cell r="T285">
            <v>6969428</v>
          </cell>
          <cell r="U285">
            <v>4939.3536498936928</v>
          </cell>
          <cell r="V285">
            <v>0.99103307930961837</v>
          </cell>
          <cell r="W285" t="str">
            <v>Соответствует</v>
          </cell>
          <cell r="X285" t="str">
            <v>отличное</v>
          </cell>
          <cell r="Y285">
            <v>0.1</v>
          </cell>
          <cell r="Z285">
            <v>6481582.458071799</v>
          </cell>
          <cell r="AA285">
            <v>4593.6091127369236</v>
          </cell>
          <cell r="AB285">
            <v>0.92166281396724381</v>
          </cell>
          <cell r="AC285" t="str">
            <v>Соответствует</v>
          </cell>
          <cell r="AD285">
            <v>28616728</v>
          </cell>
          <cell r="AE285">
            <v>20281.167965981575</v>
          </cell>
          <cell r="AF285">
            <v>4.0692183159946236</v>
          </cell>
          <cell r="AG285">
            <v>1411</v>
          </cell>
          <cell r="AH285">
            <v>0</v>
          </cell>
          <cell r="AI285">
            <v>0</v>
          </cell>
          <cell r="AL285">
            <v>6969428</v>
          </cell>
          <cell r="AM285" t="str">
            <v>По сроку службы</v>
          </cell>
        </row>
        <row r="286">
          <cell r="A286">
            <v>30</v>
          </cell>
          <cell r="B286" t="str">
            <v>Ц00001319</v>
          </cell>
          <cell r="C286" t="str">
            <v>Здание нежилое Об.пл. 1411 кв.м. Литер М Кад№ 23:11:0902000:275  (Коровник №6)  (КС  МТФ№1)</v>
          </cell>
          <cell r="D286">
            <v>41898</v>
          </cell>
          <cell r="E286">
            <v>41898</v>
          </cell>
          <cell r="F286">
            <v>8060582.2000000002</v>
          </cell>
          <cell r="G286">
            <v>0.98151841510437443</v>
          </cell>
          <cell r="H286">
            <v>7911609.8657625318</v>
          </cell>
          <cell r="I286">
            <v>1.2904109589041095</v>
          </cell>
          <cell r="J286" t="str">
            <v>металлические</v>
          </cell>
          <cell r="K286" t="str">
            <v>КС-5</v>
          </cell>
          <cell r="L286">
            <v>40</v>
          </cell>
          <cell r="M286">
            <v>3.226027397260274E-2</v>
          </cell>
          <cell r="N286">
            <v>0</v>
          </cell>
          <cell r="O286">
            <v>0</v>
          </cell>
          <cell r="P286">
            <v>3.2260273972602782E-2</v>
          </cell>
          <cell r="Q286">
            <v>7725655</v>
          </cell>
          <cell r="R286">
            <v>5475.3047484053859</v>
          </cell>
          <cell r="S286" t="str">
            <v>Соответствует</v>
          </cell>
          <cell r="T286">
            <v>7656379</v>
          </cell>
          <cell r="U286">
            <v>5426.2076541459955</v>
          </cell>
          <cell r="V286">
            <v>0.99103299331901307</v>
          </cell>
          <cell r="W286" t="str">
            <v>Соответствует</v>
          </cell>
          <cell r="X286" t="str">
            <v>отличное</v>
          </cell>
          <cell r="Y286">
            <v>0.1</v>
          </cell>
          <cell r="Z286">
            <v>7120448.8791862791</v>
          </cell>
          <cell r="AA286">
            <v>5046.384747828688</v>
          </cell>
          <cell r="AB286">
            <v>0.92166280777309872</v>
          </cell>
          <cell r="AC286" t="str">
            <v>Соответствует</v>
          </cell>
          <cell r="AD286">
            <v>28616728</v>
          </cell>
          <cell r="AE286">
            <v>20281.167965981575</v>
          </cell>
          <cell r="AF286">
            <v>3.7041167383218641</v>
          </cell>
          <cell r="AG286">
            <v>1411</v>
          </cell>
          <cell r="AH286">
            <v>0</v>
          </cell>
          <cell r="AI286">
            <v>0</v>
          </cell>
          <cell r="AL286">
            <v>7656379</v>
          </cell>
          <cell r="AM286" t="str">
            <v>По сроку службы</v>
          </cell>
        </row>
        <row r="287">
          <cell r="A287">
            <v>31</v>
          </cell>
          <cell r="B287" t="str">
            <v>Ц00001321</v>
          </cell>
          <cell r="C287" t="str">
            <v>Здание нежилое Об.пл. 1412,4 кв.м. Литер Н Кад№ 23:11:0902000:279 (Коровник №8)  (КС  МТФ№1)</v>
          </cell>
          <cell r="D287">
            <v>41898</v>
          </cell>
          <cell r="E287">
            <v>41898</v>
          </cell>
          <cell r="F287">
            <v>7747983.9000000004</v>
          </cell>
          <cell r="G287">
            <v>0.98151841510437443</v>
          </cell>
          <cell r="H287">
            <v>7604788.8777822107</v>
          </cell>
          <cell r="I287">
            <v>1.2904109589041095</v>
          </cell>
          <cell r="J287" t="str">
            <v>металлические</v>
          </cell>
          <cell r="K287" t="str">
            <v>КС-5</v>
          </cell>
          <cell r="L287">
            <v>40</v>
          </cell>
          <cell r="M287">
            <v>3.226027397260274E-2</v>
          </cell>
          <cell r="N287">
            <v>0</v>
          </cell>
          <cell r="O287">
            <v>0</v>
          </cell>
          <cell r="P287">
            <v>3.2260273972602782E-2</v>
          </cell>
          <cell r="Q287">
            <v>7426045.5</v>
          </cell>
          <cell r="R287">
            <v>5257.7495751911638</v>
          </cell>
          <cell r="S287" t="str">
            <v>Соответствует</v>
          </cell>
          <cell r="T287">
            <v>7359456</v>
          </cell>
          <cell r="U287">
            <v>5210.6032285471538</v>
          </cell>
          <cell r="V287">
            <v>0.99103297980062199</v>
          </cell>
          <cell r="W287" t="str">
            <v>Соответствует</v>
          </cell>
          <cell r="X287" t="str">
            <v>отличное</v>
          </cell>
          <cell r="Y287">
            <v>0.1</v>
          </cell>
          <cell r="Z287">
            <v>6844309.99000399</v>
          </cell>
          <cell r="AA287">
            <v>4845.8722670659799</v>
          </cell>
          <cell r="AB287">
            <v>0.92166281367438296</v>
          </cell>
          <cell r="AC287" t="str">
            <v>Соответствует</v>
          </cell>
          <cell r="AD287">
            <v>28642576</v>
          </cell>
          <cell r="AE287">
            <v>20279.36561880487</v>
          </cell>
          <cell r="AF287">
            <v>3.8570428904589931</v>
          </cell>
          <cell r="AG287">
            <v>1412.4</v>
          </cell>
          <cell r="AH287">
            <v>0</v>
          </cell>
          <cell r="AI287">
            <v>0</v>
          </cell>
          <cell r="AL287">
            <v>7359456</v>
          </cell>
          <cell r="AM287" t="str">
            <v>По сроку службы</v>
          </cell>
        </row>
        <row r="288">
          <cell r="A288">
            <v>32</v>
          </cell>
          <cell r="B288" t="str">
            <v>Ц00001320</v>
          </cell>
          <cell r="C288" t="str">
            <v>Здание нежилое Об.пл. 1412,4 кв.м. Литер П Кад№ 23:11:0902000:285  (Коровник №7)  (КС  МТФ№1)</v>
          </cell>
          <cell r="D288">
            <v>41898</v>
          </cell>
          <cell r="E288">
            <v>41898</v>
          </cell>
          <cell r="F288">
            <v>7224104.2400000002</v>
          </cell>
          <cell r="G288">
            <v>0.98151841510437443</v>
          </cell>
          <cell r="H288">
            <v>7090591.3441935917</v>
          </cell>
          <cell r="I288">
            <v>1.2904109589041095</v>
          </cell>
          <cell r="J288" t="str">
            <v>металлические</v>
          </cell>
          <cell r="K288" t="str">
            <v>КС-5</v>
          </cell>
          <cell r="L288">
            <v>40</v>
          </cell>
          <cell r="M288">
            <v>3.226027397260274E-2</v>
          </cell>
          <cell r="N288">
            <v>0</v>
          </cell>
          <cell r="O288">
            <v>0</v>
          </cell>
          <cell r="P288">
            <v>3.2260273972602782E-2</v>
          </cell>
          <cell r="Q288">
            <v>6923933.6900000004</v>
          </cell>
          <cell r="R288">
            <v>4902.2470192580004</v>
          </cell>
          <cell r="S288" t="str">
            <v>Соответствует</v>
          </cell>
          <cell r="T288">
            <v>6861847</v>
          </cell>
          <cell r="U288">
            <v>4858.2887284055505</v>
          </cell>
          <cell r="V288">
            <v>0.99103303226464023</v>
          </cell>
          <cell r="W288" t="str">
            <v>Соответствует</v>
          </cell>
          <cell r="X288">
            <v>0</v>
          </cell>
          <cell r="Y288">
            <v>0</v>
          </cell>
          <cell r="Z288" t="str">
            <v/>
          </cell>
          <cell r="AA288" t="str">
            <v/>
          </cell>
          <cell r="AB288" t="e">
            <v>#VALUE!</v>
          </cell>
          <cell r="AC288" t="str">
            <v>Не рассчитывалась</v>
          </cell>
          <cell r="AD288">
            <v>28642576</v>
          </cell>
          <cell r="AE288">
            <v>20279.36561880487</v>
          </cell>
          <cell r="AF288">
            <v>4.1367490334818617</v>
          </cell>
          <cell r="AG288">
            <v>1412.4</v>
          </cell>
          <cell r="AH288">
            <v>0</v>
          </cell>
          <cell r="AI288">
            <v>0</v>
          </cell>
          <cell r="AJ288" t="str">
            <v>Фото не предоставлено. Рыночная стоимость не существенно отличается от остаточной. Все остальные коровники находятся в отличном состоянии. В связи с этим Оценщиком принято допущение о правильности расчетов по сроку службы.</v>
          </cell>
          <cell r="AL288">
            <v>6861847</v>
          </cell>
          <cell r="AM288" t="str">
            <v>По сроку службы</v>
          </cell>
        </row>
        <row r="289">
          <cell r="A289">
            <v>33</v>
          </cell>
          <cell r="B289" t="str">
            <v>Ц00004418</v>
          </cell>
          <cell r="C289" t="str">
            <v>Здание нежилое Об.пл. 1471,5 кв.м. Кад № 23:24:0701000:834 Литер Н-I (Коровник №10 на МТФ №2) (НП)</v>
          </cell>
          <cell r="D289">
            <v>42121</v>
          </cell>
          <cell r="E289">
            <v>42121</v>
          </cell>
          <cell r="F289">
            <v>10229612.59</v>
          </cell>
          <cell r="G289">
            <v>1.0055850701539299</v>
          </cell>
          <cell r="H289">
            <v>10286745.693962675</v>
          </cell>
          <cell r="I289">
            <v>0.67945205479452053</v>
          </cell>
          <cell r="J289" t="str">
            <v>металлопрофиль</v>
          </cell>
          <cell r="K289" t="str">
            <v>КС-5</v>
          </cell>
          <cell r="L289">
            <v>40</v>
          </cell>
          <cell r="M289">
            <v>1.6986301369863014E-2</v>
          </cell>
          <cell r="N289">
            <v>0</v>
          </cell>
          <cell r="O289">
            <v>0</v>
          </cell>
          <cell r="P289">
            <v>1.6986301369863011E-2</v>
          </cell>
          <cell r="Q289">
            <v>10002917.550000001</v>
          </cell>
          <cell r="R289">
            <v>6797.7693170234461</v>
          </cell>
          <cell r="S289" t="str">
            <v>Соответствует</v>
          </cell>
          <cell r="T289">
            <v>10112012</v>
          </cell>
          <cell r="U289">
            <v>6871.9075773020732</v>
          </cell>
          <cell r="V289">
            <v>1.0109062630432257</v>
          </cell>
          <cell r="W289" t="str">
            <v>Соответствует</v>
          </cell>
          <cell r="X289" t="str">
            <v>отличное</v>
          </cell>
          <cell r="Y289">
            <v>0.05</v>
          </cell>
          <cell r="Z289">
            <v>9772408.4092645403</v>
          </cell>
          <cell r="AA289">
            <v>6641.1202237611551</v>
          </cell>
          <cell r="AB289">
            <v>0.97695580918434533</v>
          </cell>
          <cell r="AC289" t="str">
            <v>Соответствует</v>
          </cell>
          <cell r="AD289">
            <v>29996104</v>
          </cell>
          <cell r="AE289">
            <v>20384.71219843697</v>
          </cell>
          <cell r="AF289">
            <v>2.9987355039230525</v>
          </cell>
          <cell r="AG289">
            <v>1471.5</v>
          </cell>
          <cell r="AH289">
            <v>0</v>
          </cell>
          <cell r="AI289">
            <v>0</v>
          </cell>
          <cell r="AL289">
            <v>10112012</v>
          </cell>
          <cell r="AM289" t="str">
            <v>По сроку службы</v>
          </cell>
        </row>
        <row r="290">
          <cell r="A290">
            <v>34</v>
          </cell>
          <cell r="B290" t="str">
            <v>Ц00004417</v>
          </cell>
          <cell r="C290" t="str">
            <v>Здание нежилое Об.пл. 1471,5 кв.м. Кад№ 23:24:0701000:833 Литер Л-I (Коровник №9 на МТФ №2)  (НП)</v>
          </cell>
          <cell r="D290">
            <v>42121</v>
          </cell>
          <cell r="E290">
            <v>42121</v>
          </cell>
          <cell r="F290">
            <v>10149604.85</v>
          </cell>
          <cell r="G290">
            <v>1.0055850701539299</v>
          </cell>
          <cell r="H290">
            <v>10206291.105121918</v>
          </cell>
          <cell r="I290">
            <v>0.67945205479452053</v>
          </cell>
          <cell r="J290" t="str">
            <v>металлопрофиль</v>
          </cell>
          <cell r="K290" t="str">
            <v>КС-5</v>
          </cell>
          <cell r="L290">
            <v>40</v>
          </cell>
          <cell r="M290">
            <v>1.6986301369863014E-2</v>
          </cell>
          <cell r="N290">
            <v>0</v>
          </cell>
          <cell r="O290">
            <v>0</v>
          </cell>
          <cell r="P290">
            <v>1.6986301369863011E-2</v>
          </cell>
          <cell r="Q290">
            <v>9924682.8499999996</v>
          </cell>
          <cell r="R290">
            <v>6744.6026843357113</v>
          </cell>
          <cell r="S290" t="str">
            <v>Соответствует</v>
          </cell>
          <cell r="T290">
            <v>10032924</v>
          </cell>
          <cell r="U290">
            <v>6818.1610601427119</v>
          </cell>
          <cell r="V290">
            <v>1.0109062578256593</v>
          </cell>
          <cell r="W290" t="str">
            <v>Соответствует</v>
          </cell>
          <cell r="X290" t="str">
            <v>отличное</v>
          </cell>
          <cell r="Y290">
            <v>0.05</v>
          </cell>
          <cell r="Z290">
            <v>9695976.5498658214</v>
          </cell>
          <cell r="AA290">
            <v>6589.1787630756517</v>
          </cell>
          <cell r="AB290">
            <v>0.97695580769775647</v>
          </cell>
          <cell r="AC290" t="str">
            <v>Соответствует</v>
          </cell>
          <cell r="AD290">
            <v>29996104</v>
          </cell>
          <cell r="AE290">
            <v>20384.71219843697</v>
          </cell>
          <cell r="AF290">
            <v>3.0223740600436417</v>
          </cell>
          <cell r="AG290">
            <v>1471.5</v>
          </cell>
          <cell r="AH290">
            <v>0</v>
          </cell>
          <cell r="AI290">
            <v>0</v>
          </cell>
          <cell r="AL290">
            <v>10032924</v>
          </cell>
          <cell r="AM290" t="str">
            <v>По сроку службы</v>
          </cell>
        </row>
        <row r="291">
          <cell r="A291">
            <v>35</v>
          </cell>
          <cell r="B291" t="str">
            <v>Ц00004419</v>
          </cell>
          <cell r="C291" t="str">
            <v>Здание нежилое Об.пл. 1475,2 кв.м. Кад № 23:24:0701000:835  Литер П-I (Коровник №11 на МТФ №2) (НП)</v>
          </cell>
          <cell r="D291">
            <v>42121</v>
          </cell>
          <cell r="E291">
            <v>42121</v>
          </cell>
          <cell r="F291">
            <v>10437427.369999999</v>
          </cell>
          <cell r="G291">
            <v>1.0055850701539299</v>
          </cell>
          <cell r="H291">
            <v>10495721.134087998</v>
          </cell>
          <cell r="I291">
            <v>0.67945205479452053</v>
          </cell>
          <cell r="J291" t="str">
            <v>металлопрофиль</v>
          </cell>
          <cell r="K291" t="str">
            <v>КС-5</v>
          </cell>
          <cell r="L291">
            <v>40</v>
          </cell>
          <cell r="M291">
            <v>1.6986301369863014E-2</v>
          </cell>
          <cell r="N291">
            <v>0</v>
          </cell>
          <cell r="O291">
            <v>0</v>
          </cell>
          <cell r="P291">
            <v>1.6986301369863011E-2</v>
          </cell>
          <cell r="Q291">
            <v>10206127.049999999</v>
          </cell>
          <cell r="R291">
            <v>6918.4700718546628</v>
          </cell>
          <cell r="S291" t="str">
            <v>Соответствует</v>
          </cell>
          <cell r="T291">
            <v>10317438</v>
          </cell>
          <cell r="U291">
            <v>6993.9248915401304</v>
          </cell>
          <cell r="V291">
            <v>1.0109062869249703</v>
          </cell>
          <cell r="W291" t="str">
            <v>Соответствует</v>
          </cell>
          <cell r="X291" t="str">
            <v>отличное</v>
          </cell>
          <cell r="Y291">
            <v>0.05</v>
          </cell>
          <cell r="Z291">
            <v>9970935.0773835983</v>
          </cell>
          <cell r="AA291">
            <v>6759.0395047340007</v>
          </cell>
          <cell r="AB291">
            <v>0.97695580591303721</v>
          </cell>
          <cell r="AC291" t="str">
            <v>Соответствует</v>
          </cell>
          <cell r="AD291">
            <v>29996104</v>
          </cell>
          <cell r="AE291">
            <v>20333.584598698482</v>
          </cell>
          <cell r="AF291">
            <v>2.9390290609796006</v>
          </cell>
          <cell r="AG291">
            <v>1475.2</v>
          </cell>
          <cell r="AH291">
            <v>0</v>
          </cell>
          <cell r="AI291">
            <v>0</v>
          </cell>
          <cell r="AL291">
            <v>10317438</v>
          </cell>
          <cell r="AM291" t="str">
            <v>По сроку службы</v>
          </cell>
        </row>
        <row r="292">
          <cell r="A292">
            <v>40</v>
          </cell>
          <cell r="B292" t="str">
            <v>Ц00001313</v>
          </cell>
          <cell r="C292" t="str">
            <v>Здание нежилое Об.пл.1174,7кв.м. ЛитерФ Кад№ 23:11:0902000:281 (Пристройка №1 к коров №3)(КС  МТФ№1)</v>
          </cell>
          <cell r="D292">
            <v>41898</v>
          </cell>
          <cell r="E292">
            <v>41898</v>
          </cell>
          <cell r="F292">
            <v>2498541.6</v>
          </cell>
          <cell r="G292">
            <v>0.98151841510437443</v>
          </cell>
          <cell r="H292">
            <v>2452364.5913043479</v>
          </cell>
          <cell r="I292">
            <v>1.2904109589041095</v>
          </cell>
          <cell r="J292" t="str">
            <v>металлопрофиль</v>
          </cell>
          <cell r="K292">
            <v>40</v>
          </cell>
          <cell r="L292">
            <v>60</v>
          </cell>
          <cell r="M292">
            <v>2.150684931506849E-2</v>
          </cell>
          <cell r="N292">
            <v>0</v>
          </cell>
          <cell r="O292">
            <v>0</v>
          </cell>
          <cell r="P292">
            <v>2.1506849315068521E-2</v>
          </cell>
          <cell r="Q292">
            <v>2374029.6</v>
          </cell>
          <cell r="R292">
            <v>2020.9667149059335</v>
          </cell>
          <cell r="S292" t="str">
            <v>Соответствует</v>
          </cell>
          <cell r="T292">
            <v>2399622</v>
          </cell>
          <cell r="U292">
            <v>2042.753043330212</v>
          </cell>
          <cell r="V292">
            <v>1.0107801520250632</v>
          </cell>
          <cell r="W292" t="str">
            <v>Соответствует</v>
          </cell>
          <cell r="X292" t="str">
            <v>отличное</v>
          </cell>
          <cell r="Y292">
            <v>0.1</v>
          </cell>
          <cell r="Z292">
            <v>2207128.1321739131</v>
          </cell>
          <cell r="AA292">
            <v>1878.8866367361138</v>
          </cell>
          <cell r="AB292">
            <v>0.92969697268050622</v>
          </cell>
          <cell r="AC292" t="str">
            <v>Соответствует</v>
          </cell>
          <cell r="AD292">
            <v>16040352</v>
          </cell>
          <cell r="AE292">
            <v>13654.849748872051</v>
          </cell>
          <cell r="AF292">
            <v>6.7565930938687533</v>
          </cell>
          <cell r="AG292">
            <v>1174.7</v>
          </cell>
          <cell r="AH292">
            <v>0</v>
          </cell>
          <cell r="AI292">
            <v>0</v>
          </cell>
          <cell r="AL292">
            <v>2399622</v>
          </cell>
          <cell r="AM292" t="str">
            <v>По сроку службы</v>
          </cell>
        </row>
        <row r="293">
          <cell r="A293">
            <v>42</v>
          </cell>
          <cell r="B293" t="str">
            <v>Ц00001307</v>
          </cell>
          <cell r="C293" t="str">
            <v>Здание нежилое Об.пл.800,6кв.м. ЛитерТ кад№ 23:11:0902000:286 (Пристройка №1 к коров №1)(КС  МТФ№1)</v>
          </cell>
          <cell r="D293">
            <v>41898</v>
          </cell>
          <cell r="E293">
            <v>41898</v>
          </cell>
          <cell r="F293">
            <v>3055917.25</v>
          </cell>
          <cell r="G293">
            <v>0.98151841510437443</v>
          </cell>
          <cell r="H293">
            <v>2999439.0559101184</v>
          </cell>
          <cell r="I293">
            <v>1.2904109589041095</v>
          </cell>
          <cell r="J293" t="str">
            <v>металлические</v>
          </cell>
          <cell r="K293" t="str">
            <v>КС-5</v>
          </cell>
          <cell r="L293">
            <v>40</v>
          </cell>
          <cell r="M293">
            <v>3.226027397260274E-2</v>
          </cell>
          <cell r="N293">
            <v>0</v>
          </cell>
          <cell r="O293">
            <v>0</v>
          </cell>
          <cell r="P293">
            <v>3.2260273972602782E-2</v>
          </cell>
          <cell r="Q293">
            <v>2903629</v>
          </cell>
          <cell r="R293">
            <v>3626.8161378965774</v>
          </cell>
          <cell r="S293" t="str">
            <v>Соответствует</v>
          </cell>
          <cell r="T293">
            <v>2902676</v>
          </cell>
          <cell r="U293">
            <v>3625.6257806645017</v>
          </cell>
          <cell r="V293">
            <v>0.99967179002551632</v>
          </cell>
          <cell r="W293" t="str">
            <v>Соответствует</v>
          </cell>
          <cell r="X293" t="str">
            <v>отличное</v>
          </cell>
          <cell r="Y293">
            <v>0.1</v>
          </cell>
          <cell r="Z293">
            <v>2699495.1503191064</v>
          </cell>
          <cell r="AA293">
            <v>3371.8400578554915</v>
          </cell>
          <cell r="AB293">
            <v>0.92969699307973108</v>
          </cell>
          <cell r="AC293" t="str">
            <v>Соответствует</v>
          </cell>
          <cell r="AD293">
            <v>12280724</v>
          </cell>
          <cell r="AE293">
            <v>15339.400449662753</v>
          </cell>
          <cell r="AF293">
            <v>4.2294397803576143</v>
          </cell>
          <cell r="AG293">
            <v>800.6</v>
          </cell>
          <cell r="AH293">
            <v>0</v>
          </cell>
          <cell r="AI293">
            <v>0</v>
          </cell>
          <cell r="AL293">
            <v>2902676</v>
          </cell>
          <cell r="AM293" t="str">
            <v>По сроку службы</v>
          </cell>
        </row>
        <row r="294">
          <cell r="A294">
            <v>43</v>
          </cell>
          <cell r="B294" t="str">
            <v>Ц00001311</v>
          </cell>
          <cell r="C294" t="str">
            <v xml:space="preserve">Здание нежилое Об.пл.829 кв.м. ЛитерЩ Кад№ 23:11:0902000:296 (Пристройка №1 к коров №2)(КС  МТФ№1)  </v>
          </cell>
          <cell r="D294">
            <v>41898</v>
          </cell>
          <cell r="E294">
            <v>41898</v>
          </cell>
          <cell r="F294">
            <v>3307858.48</v>
          </cell>
          <cell r="G294">
            <v>0.98151841510437443</v>
          </cell>
          <cell r="H294">
            <v>3246724.0126791652</v>
          </cell>
          <cell r="I294">
            <v>1.2904109589041095</v>
          </cell>
          <cell r="J294" t="str">
            <v>металлические</v>
          </cell>
          <cell r="K294" t="str">
            <v>КС-5</v>
          </cell>
          <cell r="L294">
            <v>40</v>
          </cell>
          <cell r="M294">
            <v>3.226027397260274E-2</v>
          </cell>
          <cell r="N294">
            <v>0</v>
          </cell>
          <cell r="O294">
            <v>0</v>
          </cell>
          <cell r="P294">
            <v>3.2260273972602782E-2</v>
          </cell>
          <cell r="Q294">
            <v>3143015.08</v>
          </cell>
          <cell r="R294">
            <v>3791.3330277442701</v>
          </cell>
          <cell r="S294" t="str">
            <v>Соответствует</v>
          </cell>
          <cell r="T294">
            <v>3141984</v>
          </cell>
          <cell r="U294">
            <v>3790.0892641737032</v>
          </cell>
          <cell r="V294">
            <v>0.99967194557653849</v>
          </cell>
          <cell r="W294" t="str">
            <v>Соответствует</v>
          </cell>
          <cell r="X294" t="str">
            <v>отличное</v>
          </cell>
          <cell r="Y294">
            <v>0.1</v>
          </cell>
          <cell r="Z294">
            <v>2922051.6114112488</v>
          </cell>
          <cell r="AA294">
            <v>3524.7908460931831</v>
          </cell>
          <cell r="AB294">
            <v>0.92969697473142532</v>
          </cell>
          <cell r="AC294" t="str">
            <v>Соответствует</v>
          </cell>
          <cell r="AD294">
            <v>12709611</v>
          </cell>
          <cell r="AE294">
            <v>15331.255729794933</v>
          </cell>
          <cell r="AF294">
            <v>4.0437639261978982</v>
          </cell>
          <cell r="AG294">
            <v>829</v>
          </cell>
          <cell r="AH294">
            <v>0</v>
          </cell>
          <cell r="AI294">
            <v>0</v>
          </cell>
          <cell r="AL294">
            <v>3141984</v>
          </cell>
          <cell r="AM294" t="str">
            <v>По сроку службы</v>
          </cell>
        </row>
        <row r="295">
          <cell r="A295">
            <v>44</v>
          </cell>
          <cell r="B295" t="str">
            <v>Ц00001310</v>
          </cell>
          <cell r="C295" t="str">
            <v>Здание нежилое Об.пл.829кв.м.  Литер Э Кад№ 23:11:0902000:297 (Пристройка №2 к коров №2)(КС  МТФ№1)</v>
          </cell>
          <cell r="D295">
            <v>41898</v>
          </cell>
          <cell r="E295">
            <v>41898</v>
          </cell>
          <cell r="F295">
            <v>2807859.32</v>
          </cell>
          <cell r="G295">
            <v>0.98151841510437443</v>
          </cell>
          <cell r="H295">
            <v>2755965.6296024462</v>
          </cell>
          <cell r="I295">
            <v>1.2904109589041095</v>
          </cell>
          <cell r="J295" t="str">
            <v>металлические</v>
          </cell>
          <cell r="K295" t="str">
            <v>КС-5</v>
          </cell>
          <cell r="L295">
            <v>40</v>
          </cell>
          <cell r="M295">
            <v>3.226027397260274E-2</v>
          </cell>
          <cell r="N295">
            <v>0</v>
          </cell>
          <cell r="O295">
            <v>0</v>
          </cell>
          <cell r="P295">
            <v>3.2260273972602782E-2</v>
          </cell>
          <cell r="Q295">
            <v>2667932.7199999997</v>
          </cell>
          <cell r="R295">
            <v>3218.2541857659826</v>
          </cell>
          <cell r="S295" t="str">
            <v>Соответствует</v>
          </cell>
          <cell r="T295">
            <v>2667057</v>
          </cell>
          <cell r="U295">
            <v>3217.1978287092884</v>
          </cell>
          <cell r="V295">
            <v>0.99967176083810694</v>
          </cell>
          <cell r="W295" t="str">
            <v>Соответствует</v>
          </cell>
          <cell r="X295" t="str">
            <v>отличное</v>
          </cell>
          <cell r="Y295">
            <v>0.1</v>
          </cell>
          <cell r="Z295">
            <v>2480369.0666422015</v>
          </cell>
          <cell r="AA295">
            <v>2992.0012866612806</v>
          </cell>
          <cell r="AB295">
            <v>0.92969700774245978</v>
          </cell>
          <cell r="AC295" t="str">
            <v>Соответствует</v>
          </cell>
          <cell r="AD295">
            <v>12709611</v>
          </cell>
          <cell r="AE295">
            <v>15331.255729794933</v>
          </cell>
          <cell r="AF295">
            <v>4.7638423955458675</v>
          </cell>
          <cell r="AG295">
            <v>829</v>
          </cell>
          <cell r="AH295">
            <v>0</v>
          </cell>
          <cell r="AI295">
            <v>0</v>
          </cell>
          <cell r="AL295">
            <v>2667057</v>
          </cell>
          <cell r="AM295" t="str">
            <v>По сроку службы</v>
          </cell>
        </row>
        <row r="296">
          <cell r="A296">
            <v>60</v>
          </cell>
          <cell r="B296" t="str">
            <v>Ц00004386</v>
          </cell>
          <cell r="C296" t="str">
            <v>Коровник №11 МТФ№1 (КС)</v>
          </cell>
          <cell r="D296">
            <v>42150</v>
          </cell>
          <cell r="E296">
            <v>42150</v>
          </cell>
          <cell r="F296">
            <v>10369676.810000001</v>
          </cell>
          <cell r="G296">
            <v>1.0055850701539299</v>
          </cell>
          <cell r="H296">
            <v>10427592.18245743</v>
          </cell>
          <cell r="I296">
            <v>0.6</v>
          </cell>
          <cell r="J296" t="str">
            <v>металлические</v>
          </cell>
          <cell r="K296" t="str">
            <v>КС-5</v>
          </cell>
          <cell r="L296">
            <v>40</v>
          </cell>
          <cell r="M296">
            <v>1.4999999999999999E-2</v>
          </cell>
          <cell r="N296">
            <v>0</v>
          </cell>
          <cell r="O296">
            <v>0</v>
          </cell>
          <cell r="P296">
            <v>1.5000000000000013E-2</v>
          </cell>
          <cell r="Q296">
            <v>10168602.720000001</v>
          </cell>
          <cell r="R296">
            <v>7189.8484904192892</v>
          </cell>
          <cell r="S296" t="str">
            <v>Соответствует</v>
          </cell>
          <cell r="T296">
            <v>10271178</v>
          </cell>
          <cell r="U296">
            <v>7262.3757335784485</v>
          </cell>
          <cell r="V296">
            <v>1.010087450835133</v>
          </cell>
          <cell r="W296" t="str">
            <v>Соответствует</v>
          </cell>
          <cell r="X296" t="str">
            <v>отличное</v>
          </cell>
          <cell r="Y296">
            <v>0.05</v>
          </cell>
          <cell r="Z296">
            <v>9906212.5733345579</v>
          </cell>
          <cell r="AA296">
            <v>7004.3219778933453</v>
          </cell>
          <cell r="AB296">
            <v>0.97419604699971574</v>
          </cell>
          <cell r="AC296" t="str">
            <v>Соответствует</v>
          </cell>
          <cell r="AD296">
            <v>29249902</v>
          </cell>
          <cell r="AE296">
            <v>20681.539984444604</v>
          </cell>
          <cell r="AF296">
            <v>2.8764917664125242</v>
          </cell>
          <cell r="AG296">
            <v>1414.3</v>
          </cell>
          <cell r="AH296">
            <v>0</v>
          </cell>
          <cell r="AI296">
            <v>0</v>
          </cell>
          <cell r="AL296">
            <v>10271178</v>
          </cell>
          <cell r="AM296" t="str">
            <v>По сроку службы</v>
          </cell>
        </row>
        <row r="297">
          <cell r="A297">
            <v>61</v>
          </cell>
          <cell r="B297" t="str">
            <v>Ц00004055</v>
          </cell>
          <cell r="C297" t="str">
            <v>Коровник №12 МТФ№1 (КС)</v>
          </cell>
          <cell r="D297">
            <v>42150</v>
          </cell>
          <cell r="E297">
            <v>42150</v>
          </cell>
          <cell r="F297">
            <v>10408465.74</v>
          </cell>
          <cell r="G297">
            <v>1.0055850701539299</v>
          </cell>
          <cell r="H297">
            <v>10466597.751352677</v>
          </cell>
          <cell r="I297">
            <v>0.6</v>
          </cell>
          <cell r="J297" t="str">
            <v>металлические</v>
          </cell>
          <cell r="K297" t="str">
            <v>КС-5</v>
          </cell>
          <cell r="L297">
            <v>40</v>
          </cell>
          <cell r="M297">
            <v>1.4999999999999999E-2</v>
          </cell>
          <cell r="N297">
            <v>0</v>
          </cell>
          <cell r="O297">
            <v>0</v>
          </cell>
          <cell r="P297">
            <v>1.5000000000000013E-2</v>
          </cell>
          <cell r="Q297">
            <v>10206639.5</v>
          </cell>
          <cell r="R297">
            <v>7216.7429116877611</v>
          </cell>
          <cell r="S297" t="str">
            <v>Соответствует</v>
          </cell>
          <cell r="T297">
            <v>10309599</v>
          </cell>
          <cell r="U297">
            <v>7289.5418228098706</v>
          </cell>
          <cell r="V297">
            <v>1.010087502355697</v>
          </cell>
          <cell r="W297" t="str">
            <v>Соответствует</v>
          </cell>
          <cell r="X297" t="str">
            <v>отличное</v>
          </cell>
          <cell r="Y297">
            <v>0.05</v>
          </cell>
          <cell r="Z297">
            <v>9943267.8637850434</v>
          </cell>
          <cell r="AA297">
            <v>7030.5224236619133</v>
          </cell>
          <cell r="AB297">
            <v>0.97419604795339776</v>
          </cell>
          <cell r="AC297" t="str">
            <v>Соответствует</v>
          </cell>
          <cell r="AD297">
            <v>29249902</v>
          </cell>
          <cell r="AE297">
            <v>20681.539984444604</v>
          </cell>
          <cell r="AF297">
            <v>2.8657720300594529</v>
          </cell>
          <cell r="AG297">
            <v>1414.3</v>
          </cell>
          <cell r="AH297">
            <v>0</v>
          </cell>
          <cell r="AI297">
            <v>0</v>
          </cell>
          <cell r="AL297">
            <v>10309599</v>
          </cell>
          <cell r="AM297" t="str">
            <v>По сроку службы</v>
          </cell>
        </row>
        <row r="298">
          <cell r="A298">
            <v>62</v>
          </cell>
          <cell r="B298" t="str">
            <v>Ц00004387</v>
          </cell>
          <cell r="C298" t="str">
            <v>Коровник №13 МТФ№1 (КС)</v>
          </cell>
          <cell r="D298">
            <v>42150</v>
          </cell>
          <cell r="E298">
            <v>42150</v>
          </cell>
          <cell r="F298">
            <v>9526236.3699999992</v>
          </cell>
          <cell r="G298">
            <v>1.0055850701539299</v>
          </cell>
          <cell r="H298">
            <v>9579441.0684293676</v>
          </cell>
          <cell r="I298">
            <v>0.6</v>
          </cell>
          <cell r="J298" t="str">
            <v>металлические</v>
          </cell>
          <cell r="K298" t="str">
            <v>КС-5</v>
          </cell>
          <cell r="L298">
            <v>40</v>
          </cell>
          <cell r="M298">
            <v>1.4999999999999999E-2</v>
          </cell>
          <cell r="N298">
            <v>0</v>
          </cell>
          <cell r="O298">
            <v>0</v>
          </cell>
          <cell r="P298">
            <v>1.5000000000000013E-2</v>
          </cell>
          <cell r="Q298">
            <v>9341517.0800000001</v>
          </cell>
          <cell r="R298">
            <v>6785.4413307183841</v>
          </cell>
          <cell r="S298" t="str">
            <v>Соответствует</v>
          </cell>
          <cell r="T298">
            <v>9435749</v>
          </cell>
          <cell r="U298">
            <v>6853.8890099513328</v>
          </cell>
          <cell r="V298">
            <v>1.0100874321796991</v>
          </cell>
          <cell r="W298" t="str">
            <v>Соответствует</v>
          </cell>
          <cell r="X298" t="str">
            <v>отличное</v>
          </cell>
          <cell r="Y298">
            <v>0.05</v>
          </cell>
          <cell r="Z298">
            <v>9100469.0150078982</v>
          </cell>
          <cell r="AA298">
            <v>6610.3501234894293</v>
          </cell>
          <cell r="AB298">
            <v>0.9741960472878457</v>
          </cell>
          <cell r="AC298" t="str">
            <v>Соответствует</v>
          </cell>
          <cell r="AD298">
            <v>27022396</v>
          </cell>
          <cell r="AE298">
            <v>19628.383816372483</v>
          </cell>
          <cell r="AF298">
            <v>2.8927202903535236</v>
          </cell>
          <cell r="AG298">
            <v>1376.7</v>
          </cell>
          <cell r="AH298">
            <v>0</v>
          </cell>
          <cell r="AI298">
            <v>0</v>
          </cell>
          <cell r="AL298">
            <v>9435749</v>
          </cell>
          <cell r="AM298" t="str">
            <v>По сроку службы</v>
          </cell>
        </row>
        <row r="299">
          <cell r="A299">
            <v>63</v>
          </cell>
          <cell r="B299" t="str">
            <v>Ц00004388</v>
          </cell>
          <cell r="C299" t="str">
            <v>Коровник №14 МТФ№1 (КС)</v>
          </cell>
          <cell r="D299">
            <v>42150</v>
          </cell>
          <cell r="E299">
            <v>42150</v>
          </cell>
          <cell r="F299">
            <v>9577721.2400000002</v>
          </cell>
          <cell r="G299">
            <v>1.0055850701539299</v>
          </cell>
          <cell r="H299">
            <v>9631213.485040186</v>
          </cell>
          <cell r="I299">
            <v>0.6</v>
          </cell>
          <cell r="J299" t="str">
            <v>металлические</v>
          </cell>
          <cell r="K299" t="str">
            <v>КС-5</v>
          </cell>
          <cell r="L299">
            <v>40</v>
          </cell>
          <cell r="M299">
            <v>1.4999999999999999E-2</v>
          </cell>
          <cell r="N299">
            <v>0</v>
          </cell>
          <cell r="O299">
            <v>0</v>
          </cell>
          <cell r="P299">
            <v>1.5000000000000013E-2</v>
          </cell>
          <cell r="Q299">
            <v>9392003.6799999997</v>
          </cell>
          <cell r="R299">
            <v>6822.1135178324976</v>
          </cell>
          <cell r="S299" t="str">
            <v>Соответствует</v>
          </cell>
          <cell r="T299">
            <v>9486745</v>
          </cell>
          <cell r="U299">
            <v>6890.931212319314</v>
          </cell>
          <cell r="V299">
            <v>1.0100874449401835</v>
          </cell>
          <cell r="W299" t="str">
            <v>Соответствует</v>
          </cell>
          <cell r="X299" t="str">
            <v>отличное</v>
          </cell>
          <cell r="Y299">
            <v>0.05</v>
          </cell>
          <cell r="Z299">
            <v>9149652.810788177</v>
          </cell>
          <cell r="AA299">
            <v>6646.0759866261178</v>
          </cell>
          <cell r="AB299">
            <v>0.97419604192363107</v>
          </cell>
          <cell r="AC299" t="str">
            <v>Соответствует</v>
          </cell>
          <cell r="AD299">
            <v>27022396</v>
          </cell>
          <cell r="AE299">
            <v>19628.383816372483</v>
          </cell>
          <cell r="AF299">
            <v>2.8771705080933274</v>
          </cell>
          <cell r="AG299">
            <v>1376.7</v>
          </cell>
          <cell r="AH299">
            <v>0</v>
          </cell>
          <cell r="AI299">
            <v>0</v>
          </cell>
          <cell r="AL299">
            <v>9486745</v>
          </cell>
          <cell r="AM299" t="str">
            <v>По сроку службы</v>
          </cell>
        </row>
        <row r="300">
          <cell r="A300">
            <v>64</v>
          </cell>
          <cell r="B300" t="str">
            <v>Ц00004391</v>
          </cell>
          <cell r="C300" t="str">
            <v>Коровник №15 МТФ№1 (КС)</v>
          </cell>
          <cell r="D300">
            <v>42150</v>
          </cell>
          <cell r="E300">
            <v>42150</v>
          </cell>
          <cell r="F300">
            <v>7122871.9800000004</v>
          </cell>
          <cell r="G300">
            <v>1.0055850701539299</v>
          </cell>
          <cell r="H300">
            <v>7162653.7197057623</v>
          </cell>
          <cell r="I300">
            <v>0.6</v>
          </cell>
          <cell r="J300" t="str">
            <v>металлические</v>
          </cell>
          <cell r="K300" t="str">
            <v>КС-5</v>
          </cell>
          <cell r="L300">
            <v>40</v>
          </cell>
          <cell r="M300">
            <v>1.4999999999999999E-2</v>
          </cell>
          <cell r="N300">
            <v>0</v>
          </cell>
          <cell r="O300">
            <v>0</v>
          </cell>
          <cell r="P300">
            <v>1.5000000000000013E-2</v>
          </cell>
          <cell r="Q300">
            <v>6984755.3300000001</v>
          </cell>
          <cell r="R300">
            <v>6182.8408692573248</v>
          </cell>
          <cell r="S300" t="str">
            <v>Соответствует</v>
          </cell>
          <cell r="T300">
            <v>7055214</v>
          </cell>
          <cell r="U300">
            <v>6245.2102328051697</v>
          </cell>
          <cell r="V300">
            <v>1.0100874929286894</v>
          </cell>
          <cell r="W300" t="str">
            <v>Соответствует</v>
          </cell>
          <cell r="X300" t="str">
            <v>отличное</v>
          </cell>
          <cell r="Y300">
            <v>0.05</v>
          </cell>
          <cell r="Z300">
            <v>6804521.0337204738</v>
          </cell>
          <cell r="AA300">
            <v>6023.2991358063855</v>
          </cell>
          <cell r="AB300">
            <v>0.97419604728237108</v>
          </cell>
          <cell r="AC300" t="str">
            <v>Соответствует</v>
          </cell>
          <cell r="AD300">
            <v>17499097</v>
          </cell>
          <cell r="AE300">
            <v>15490.038948393378</v>
          </cell>
          <cell r="AF300">
            <v>2.5053271264692962</v>
          </cell>
          <cell r="AG300">
            <v>1129.7</v>
          </cell>
          <cell r="AH300">
            <v>0</v>
          </cell>
          <cell r="AI300">
            <v>0</v>
          </cell>
          <cell r="AL300">
            <v>7055214</v>
          </cell>
          <cell r="AM300" t="str">
            <v>По сроку службы</v>
          </cell>
        </row>
        <row r="301">
          <cell r="A301">
            <v>65</v>
          </cell>
          <cell r="B301" t="str">
            <v>Р00009091</v>
          </cell>
          <cell r="C301" t="str">
            <v>Коровник №8 МТФ№5 Об.пл. 1448,5 кв.м. Литер П Кад№ 23:11:0702000:812</v>
          </cell>
          <cell r="D301">
            <v>40908</v>
          </cell>
          <cell r="E301">
            <v>40908</v>
          </cell>
          <cell r="F301">
            <v>6131355.9000000004</v>
          </cell>
          <cell r="G301">
            <v>1.4002276176024278</v>
          </cell>
          <cell r="H301">
            <v>8585293.8645295892</v>
          </cell>
          <cell r="I301">
            <v>4.0027397260273974</v>
          </cell>
          <cell r="J301" t="str">
            <v>поликарбонат</v>
          </cell>
          <cell r="K301" t="str">
            <v>КС-6</v>
          </cell>
          <cell r="L301">
            <v>35</v>
          </cell>
          <cell r="M301">
            <v>0.11436399217221135</v>
          </cell>
          <cell r="N301">
            <v>0</v>
          </cell>
          <cell r="O301">
            <v>0</v>
          </cell>
          <cell r="P301">
            <v>0.11436399217221138</v>
          </cell>
          <cell r="Q301">
            <v>5316106.1400000006</v>
          </cell>
          <cell r="R301">
            <v>3670.0767276492929</v>
          </cell>
          <cell r="S301" t="str">
            <v>Соответствует</v>
          </cell>
          <cell r="T301">
            <v>7603445</v>
          </cell>
          <cell r="U301">
            <v>5249.1853641698308</v>
          </cell>
          <cell r="V301">
            <v>1.4302658373935324</v>
          </cell>
          <cell r="W301" t="str">
            <v>Соответствует</v>
          </cell>
          <cell r="X301" t="str">
            <v>отличное</v>
          </cell>
          <cell r="Y301">
            <v>0.15</v>
          </cell>
          <cell r="Z301">
            <v>7297499.7848501503</v>
          </cell>
          <cell r="AA301">
            <v>5037.9701655851923</v>
          </cell>
          <cell r="AB301">
            <v>1.3727152153606454</v>
          </cell>
          <cell r="AC301" t="str">
            <v>Соответствует</v>
          </cell>
          <cell r="AD301">
            <v>29324485</v>
          </cell>
          <cell r="AE301">
            <v>20244.725578184327</v>
          </cell>
          <cell r="AF301">
            <v>5.5161586747400788</v>
          </cell>
          <cell r="AG301">
            <v>1448.5</v>
          </cell>
          <cell r="AH301">
            <v>0</v>
          </cell>
          <cell r="AI301">
            <v>0</v>
          </cell>
          <cell r="AL301">
            <v>7297499.7848501503</v>
          </cell>
          <cell r="AM301" t="str">
            <v>Экспертно</v>
          </cell>
        </row>
        <row r="302">
          <cell r="A302">
            <v>66</v>
          </cell>
          <cell r="B302" t="str">
            <v>Р00009092</v>
          </cell>
          <cell r="C302" t="str">
            <v>Коровник №9 МТФ№5 Об.пл. 1448,5 кв.м. Литер Н Кад№  23:11:0702000:825</v>
          </cell>
          <cell r="D302">
            <v>40908</v>
          </cell>
          <cell r="E302">
            <v>40908</v>
          </cell>
          <cell r="F302">
            <v>6131355.9699999997</v>
          </cell>
          <cell r="G302">
            <v>1.4002276176024278</v>
          </cell>
          <cell r="H302">
            <v>8585293.9625455216</v>
          </cell>
          <cell r="I302">
            <v>4.0027397260273974</v>
          </cell>
          <cell r="J302" t="str">
            <v>поликарбонат</v>
          </cell>
          <cell r="K302" t="str">
            <v>КС-6</v>
          </cell>
          <cell r="L302">
            <v>35</v>
          </cell>
          <cell r="M302">
            <v>0.11436399217221135</v>
          </cell>
          <cell r="N302">
            <v>0</v>
          </cell>
          <cell r="O302">
            <v>0</v>
          </cell>
          <cell r="P302">
            <v>0.11436399217221138</v>
          </cell>
          <cell r="Q302">
            <v>5316106.21</v>
          </cell>
          <cell r="R302">
            <v>3670.0767759751466</v>
          </cell>
          <cell r="S302" t="str">
            <v>Соответствует</v>
          </cell>
          <cell r="T302">
            <v>7603445</v>
          </cell>
          <cell r="U302">
            <v>5249.1853641698308</v>
          </cell>
          <cell r="V302">
            <v>1.4302658185604611</v>
          </cell>
          <cell r="W302" t="str">
            <v>Соответствует</v>
          </cell>
          <cell r="X302" t="str">
            <v>отличное</v>
          </cell>
          <cell r="Y302">
            <v>0.15</v>
          </cell>
          <cell r="Z302">
            <v>7297499.8681636928</v>
          </cell>
          <cell r="AA302">
            <v>5037.9702231023075</v>
          </cell>
          <cell r="AB302">
            <v>1.3727152129572846</v>
          </cell>
          <cell r="AC302" t="str">
            <v>Соответствует</v>
          </cell>
          <cell r="AD302">
            <v>29324485</v>
          </cell>
          <cell r="AE302">
            <v>20244.725578184327</v>
          </cell>
          <cell r="AF302">
            <v>5.5161586021058824</v>
          </cell>
          <cell r="AG302">
            <v>1448.5</v>
          </cell>
          <cell r="AH302">
            <v>0</v>
          </cell>
          <cell r="AI302">
            <v>0</v>
          </cell>
          <cell r="AL302">
            <v>7297499.8681636928</v>
          </cell>
          <cell r="AM302" t="str">
            <v>Экспертно</v>
          </cell>
        </row>
        <row r="303">
          <cell r="A303">
            <v>68</v>
          </cell>
          <cell r="B303">
            <v>352</v>
          </cell>
          <cell r="C303" t="str">
            <v>Коровник-4-х рядный К-1 МТФ №3  Литер А Об.пл. 3249,6 кв.м. Кад№ 23:11:0702000:780</v>
          </cell>
          <cell r="D303">
            <v>26648</v>
          </cell>
          <cell r="E303">
            <v>26648</v>
          </cell>
          <cell r="F303">
            <v>13597391.02</v>
          </cell>
          <cell r="G303">
            <v>13.261762999999998</v>
          </cell>
          <cell r="H303">
            <v>180325377.12556824</v>
          </cell>
          <cell r="I303">
            <v>43.07123287671233</v>
          </cell>
          <cell r="J303" t="str">
            <v>профнастил</v>
          </cell>
          <cell r="K303" t="str">
            <v>КС-5</v>
          </cell>
          <cell r="L303">
            <v>40</v>
          </cell>
          <cell r="M303">
            <v>0.8</v>
          </cell>
          <cell r="N303">
            <v>0</v>
          </cell>
          <cell r="O303">
            <v>0</v>
          </cell>
          <cell r="P303">
            <v>0.8</v>
          </cell>
          <cell r="Q303">
            <v>11824784.699999999</v>
          </cell>
          <cell r="R303">
            <v>6545.6876280099632</v>
          </cell>
          <cell r="S303" t="str">
            <v>Соответствует</v>
          </cell>
          <cell r="T303">
            <v>36065075</v>
          </cell>
          <cell r="U303">
            <v>19964.060337669525</v>
          </cell>
          <cell r="V303">
            <v>3.0499561653752565</v>
          </cell>
          <cell r="W303" t="str">
            <v>Не соответствует</v>
          </cell>
          <cell r="X303" t="str">
            <v>хорошее</v>
          </cell>
          <cell r="Y303">
            <v>0.3</v>
          </cell>
          <cell r="Z303">
            <v>126227763.98789775</v>
          </cell>
          <cell r="AA303">
            <v>69874.21200547897</v>
          </cell>
          <cell r="AB303">
            <v>10.674846704642137</v>
          </cell>
          <cell r="AC303" t="str">
            <v>Не соответствует</v>
          </cell>
          <cell r="AD303">
            <v>9105658</v>
          </cell>
          <cell r="AE303">
            <v>5040.4970938278439</v>
          </cell>
          <cell r="AF303">
            <v>0.77004852358960929</v>
          </cell>
          <cell r="AG303">
            <v>1806.5</v>
          </cell>
          <cell r="AH303">
            <v>0</v>
          </cell>
          <cell r="AI303">
            <v>0</v>
          </cell>
          <cell r="AL303">
            <v>9105658</v>
          </cell>
          <cell r="AM303" t="str">
            <v>Ко-Инвест</v>
          </cell>
        </row>
        <row r="304">
          <cell r="A304">
            <v>74</v>
          </cell>
          <cell r="B304">
            <v>316</v>
          </cell>
          <cell r="C304" t="str">
            <v>Корпус №6 МТФ №5(398)   Литер В,В1,В2 Об.пл. 2970,50 кв.м. Кад№ 23:11:0702000:747</v>
          </cell>
          <cell r="D304">
            <v>28854</v>
          </cell>
          <cell r="E304">
            <v>28854</v>
          </cell>
          <cell r="F304">
            <v>15123775.970000001</v>
          </cell>
          <cell r="G304">
            <v>13.261762999999998</v>
          </cell>
          <cell r="H304">
            <v>200567932.57923511</v>
          </cell>
          <cell r="I304">
            <v>37.027397260273972</v>
          </cell>
          <cell r="J304" t="str">
            <v>ж/б панели, обшивка полимерным материалом</v>
          </cell>
          <cell r="K304" t="str">
            <v>КС-4</v>
          </cell>
          <cell r="L304">
            <v>45</v>
          </cell>
          <cell r="M304">
            <v>0.8</v>
          </cell>
          <cell r="N304">
            <v>0</v>
          </cell>
          <cell r="O304">
            <v>0</v>
          </cell>
          <cell r="P304">
            <v>0.8</v>
          </cell>
          <cell r="Q304">
            <v>12824705.690000001</v>
          </cell>
          <cell r="R304">
            <v>4317.3558963137521</v>
          </cell>
          <cell r="S304" t="str">
            <v>Соответствует</v>
          </cell>
          <cell r="T304">
            <v>40113587</v>
          </cell>
          <cell r="U304">
            <v>13503.984851035179</v>
          </cell>
          <cell r="V304">
            <v>3.1278368462894526</v>
          </cell>
          <cell r="W304" t="str">
            <v>Не соответствует</v>
          </cell>
          <cell r="X304" t="str">
            <v>хорошее</v>
          </cell>
          <cell r="Y304">
            <v>0.3</v>
          </cell>
          <cell r="Z304">
            <v>140397552.80546457</v>
          </cell>
          <cell r="AA304">
            <v>47263.946408168515</v>
          </cell>
          <cell r="AB304">
            <v>10.947428829882533</v>
          </cell>
          <cell r="AC304" t="str">
            <v>Не соответствует</v>
          </cell>
          <cell r="AD304">
            <v>8687023</v>
          </cell>
          <cell r="AE304">
            <v>2924.4312405318969</v>
          </cell>
          <cell r="AF304">
            <v>0.67736626554897561</v>
          </cell>
          <cell r="AG304">
            <v>2970.5</v>
          </cell>
          <cell r="AH304">
            <v>0</v>
          </cell>
          <cell r="AI304">
            <v>0</v>
          </cell>
          <cell r="AL304">
            <v>8687023</v>
          </cell>
          <cell r="AM304" t="str">
            <v>Ко-Инвест</v>
          </cell>
        </row>
        <row r="305">
          <cell r="A305">
            <v>75</v>
          </cell>
          <cell r="B305">
            <v>374</v>
          </cell>
          <cell r="C305" t="str">
            <v>Корпус №7 МТФ №5(410)   Литер Б Об.пл. 3796,6 кв.м. Кад№  23:11:0702000:748</v>
          </cell>
          <cell r="D305">
            <v>28855</v>
          </cell>
          <cell r="E305">
            <v>28855</v>
          </cell>
          <cell r="F305">
            <v>9894627.5999999996</v>
          </cell>
          <cell r="G305">
            <v>13.261762999999998</v>
          </cell>
          <cell r="H305">
            <v>131220206.20445877</v>
          </cell>
          <cell r="I305">
            <v>37.024657534246572</v>
          </cell>
          <cell r="J305" t="str">
            <v>металлические конструкции с обшивкой полимерным материалом</v>
          </cell>
          <cell r="K305" t="str">
            <v>КС-5</v>
          </cell>
          <cell r="L305">
            <v>40</v>
          </cell>
          <cell r="M305">
            <v>0.8</v>
          </cell>
          <cell r="N305">
            <v>0</v>
          </cell>
          <cell r="O305">
            <v>0</v>
          </cell>
          <cell r="P305">
            <v>0.8</v>
          </cell>
          <cell r="Q305">
            <v>8300475.8799999999</v>
          </cell>
          <cell r="R305">
            <v>2186.2919138176262</v>
          </cell>
          <cell r="S305" t="str">
            <v>Соответствует</v>
          </cell>
          <cell r="T305">
            <v>26244041</v>
          </cell>
          <cell r="U305">
            <v>6912.5114576199758</v>
          </cell>
          <cell r="V305">
            <v>3.1617513717779757</v>
          </cell>
          <cell r="W305" t="str">
            <v>Не соответствует</v>
          </cell>
          <cell r="X305" t="str">
            <v>хорошее</v>
          </cell>
          <cell r="Y305">
            <v>0.3</v>
          </cell>
          <cell r="Z305">
            <v>91854144.343121141</v>
          </cell>
          <cell r="AA305">
            <v>24193.790323742596</v>
          </cell>
          <cell r="AB305">
            <v>11.066129902797952</v>
          </cell>
          <cell r="AC305" t="str">
            <v>Не соответствует</v>
          </cell>
          <cell r="AD305">
            <v>10508277</v>
          </cell>
          <cell r="AE305">
            <v>2767.8125164620978</v>
          </cell>
          <cell r="AF305">
            <v>1.2659848847124173</v>
          </cell>
          <cell r="AG305">
            <v>3796.6</v>
          </cell>
          <cell r="AH305">
            <v>0</v>
          </cell>
          <cell r="AI305">
            <v>0</v>
          </cell>
          <cell r="AL305">
            <v>10508277</v>
          </cell>
          <cell r="AM305" t="str">
            <v>Ко-Инвест</v>
          </cell>
        </row>
        <row r="306">
          <cell r="A306">
            <v>81</v>
          </cell>
          <cell r="B306">
            <v>372</v>
          </cell>
          <cell r="C306" t="str">
            <v>Корпус-маточник 691,9кв.м.(Корпус -откорм, для свиней на 350гол СТФ Литер Х) Кад№ 23:11:0702000:750</v>
          </cell>
          <cell r="D306">
            <v>37605</v>
          </cell>
          <cell r="E306">
            <v>37605</v>
          </cell>
          <cell r="F306">
            <v>2693429</v>
          </cell>
          <cell r="G306">
            <v>4.5511713933415532</v>
          </cell>
          <cell r="H306">
            <v>12258257.014796546</v>
          </cell>
          <cell r="I306">
            <v>13.052054794520547</v>
          </cell>
          <cell r="J306" t="str">
            <v>каменные</v>
          </cell>
          <cell r="K306" t="str">
            <v>КС-1</v>
          </cell>
          <cell r="L306">
            <v>60</v>
          </cell>
          <cell r="M306">
            <v>0.21753424657534245</v>
          </cell>
          <cell r="N306">
            <v>0</v>
          </cell>
          <cell r="O306">
            <v>0</v>
          </cell>
          <cell r="P306">
            <v>0.21753424657534248</v>
          </cell>
          <cell r="Q306">
            <v>2360764.17</v>
          </cell>
          <cell r="R306">
            <v>3412.0019800549212</v>
          </cell>
          <cell r="S306" t="str">
            <v>Соответствует</v>
          </cell>
          <cell r="T306">
            <v>9591666</v>
          </cell>
          <cell r="U306">
            <v>13862.792311027606</v>
          </cell>
          <cell r="V306">
            <v>4.0629496676917123</v>
          </cell>
          <cell r="W306" t="str">
            <v>Не соответствует</v>
          </cell>
          <cell r="X306" t="str">
            <v>хорошее</v>
          </cell>
          <cell r="Y306">
            <v>0.4</v>
          </cell>
          <cell r="Z306">
            <v>7354954.2088779276</v>
          </cell>
          <cell r="AA306">
            <v>10630.08268373743</v>
          </cell>
          <cell r="AB306">
            <v>3.1154972200708757</v>
          </cell>
          <cell r="AC306" t="str">
            <v>Не соответствует</v>
          </cell>
          <cell r="AD306">
            <v>4888619</v>
          </cell>
          <cell r="AE306">
            <v>7065.4993496169973</v>
          </cell>
          <cell r="AF306">
            <v>2.0707782090745641</v>
          </cell>
          <cell r="AG306">
            <v>691.9</v>
          </cell>
          <cell r="AH306">
            <v>0</v>
          </cell>
          <cell r="AI306">
            <v>0</v>
          </cell>
          <cell r="AL306">
            <v>4888619</v>
          </cell>
          <cell r="AM306" t="str">
            <v>Ко-Инвест</v>
          </cell>
        </row>
        <row r="307">
          <cell r="A307">
            <v>93</v>
          </cell>
          <cell r="B307">
            <v>530</v>
          </cell>
          <cell r="C307" t="str">
            <v>Нежилое здание об.S- 117,7кв.м. (Насосная орошения(284)  Литер А Кад№ 23:11:0702000:822</v>
          </cell>
          <cell r="D307">
            <v>26648</v>
          </cell>
          <cell r="E307">
            <v>26648</v>
          </cell>
          <cell r="F307">
            <v>3482843.71</v>
          </cell>
          <cell r="G307">
            <v>13.261762999999998</v>
          </cell>
          <cell r="H307">
            <v>46188647.848060727</v>
          </cell>
          <cell r="I307">
            <v>43.07123287671233</v>
          </cell>
          <cell r="J307" t="str">
            <v>каменные</v>
          </cell>
          <cell r="K307" t="str">
            <v>КС-1</v>
          </cell>
          <cell r="L307">
            <v>60</v>
          </cell>
          <cell r="M307">
            <v>0.71785388127853877</v>
          </cell>
          <cell r="N307">
            <v>0</v>
          </cell>
          <cell r="O307">
            <v>0</v>
          </cell>
          <cell r="P307">
            <v>0.71785388127853877</v>
          </cell>
          <cell r="Q307">
            <v>2769174.31</v>
          </cell>
          <cell r="R307">
            <v>23527.394307561597</v>
          </cell>
          <cell r="S307" t="str">
            <v>Соответствует</v>
          </cell>
          <cell r="T307">
            <v>13031948</v>
          </cell>
          <cell r="U307">
            <v>110721.73322005097</v>
          </cell>
          <cell r="V307">
            <v>4.7060771699850124</v>
          </cell>
          <cell r="W307" t="str">
            <v>Не соответствует</v>
          </cell>
          <cell r="X307" t="str">
            <v>хорошее</v>
          </cell>
          <cell r="Y307">
            <v>0.15</v>
          </cell>
          <cell r="Z307">
            <v>39260350.670851618</v>
          </cell>
          <cell r="AA307">
            <v>333562.87740740541</v>
          </cell>
          <cell r="AB307">
            <v>14.177637907832395</v>
          </cell>
          <cell r="AC307" t="str">
            <v>Не соответствует</v>
          </cell>
          <cell r="AD307">
            <v>1799111</v>
          </cell>
          <cell r="AE307">
            <v>15285.564995751911</v>
          </cell>
          <cell r="AF307">
            <v>0.64969221818326051</v>
          </cell>
          <cell r="AG307">
            <v>117.7</v>
          </cell>
          <cell r="AH307">
            <v>0</v>
          </cell>
          <cell r="AI307" t="str">
            <v>возможно с оборудованием?</v>
          </cell>
          <cell r="AL307">
            <v>1799111</v>
          </cell>
          <cell r="AM307" t="str">
            <v>Ко-Инвест</v>
          </cell>
        </row>
        <row r="308">
          <cell r="A308">
            <v>94</v>
          </cell>
          <cell r="B308" t="str">
            <v>Р00008628</v>
          </cell>
          <cell r="C308" t="str">
            <v>Нежилое здание об.S-1448,5 кв.м. Коровник №3 с переход. галер. МТФ№3 Литер Ш1 Кад№ 23:11:0702000:824</v>
          </cell>
          <cell r="D308">
            <v>40816</v>
          </cell>
          <cell r="E308">
            <v>40816</v>
          </cell>
          <cell r="F308">
            <v>7941268.0499999998</v>
          </cell>
          <cell r="G308">
            <v>1.4002276176024278</v>
          </cell>
          <cell r="H308">
            <v>11119582.842393776</v>
          </cell>
          <cell r="I308">
            <v>4.2547945205479456</v>
          </cell>
          <cell r="J308" t="str">
            <v>поликарбонат</v>
          </cell>
          <cell r="K308" t="str">
            <v>КС-6</v>
          </cell>
          <cell r="L308">
            <v>35</v>
          </cell>
          <cell r="M308">
            <v>0.12156555772994131</v>
          </cell>
          <cell r="N308">
            <v>0</v>
          </cell>
          <cell r="O308">
            <v>0</v>
          </cell>
          <cell r="P308">
            <v>0.12156555772994126</v>
          </cell>
          <cell r="Q308">
            <v>7099262.6399999997</v>
          </cell>
          <cell r="R308">
            <v>4901.1133172247146</v>
          </cell>
          <cell r="S308" t="str">
            <v>Соответствует</v>
          </cell>
          <cell r="T308">
            <v>9767825</v>
          </cell>
          <cell r="U308">
            <v>6743.4069727304104</v>
          </cell>
          <cell r="V308">
            <v>1.375892891321457</v>
          </cell>
          <cell r="W308" t="str">
            <v>Соответствует</v>
          </cell>
          <cell r="X308" t="str">
            <v>отличное</v>
          </cell>
          <cell r="Y308">
            <v>0.1</v>
          </cell>
          <cell r="Z308">
            <v>10007624.558154399</v>
          </cell>
          <cell r="AA308">
            <v>6908.9572372484627</v>
          </cell>
          <cell r="AB308">
            <v>1.4096709849509665</v>
          </cell>
          <cell r="AC308" t="str">
            <v>Соответствует</v>
          </cell>
          <cell r="AD308">
            <v>29086032</v>
          </cell>
          <cell r="AE308">
            <v>20080.104936140837</v>
          </cell>
          <cell r="AF308">
            <v>4.0970497183915988</v>
          </cell>
          <cell r="AG308">
            <v>1448.5</v>
          </cell>
          <cell r="AH308">
            <v>0</v>
          </cell>
          <cell r="AI308">
            <v>0</v>
          </cell>
          <cell r="AL308">
            <v>9767825</v>
          </cell>
          <cell r="AM308" t="str">
            <v>По сроку службы</v>
          </cell>
        </row>
        <row r="309">
          <cell r="A309">
            <v>95</v>
          </cell>
          <cell r="B309" t="str">
            <v>Р00009097</v>
          </cell>
          <cell r="C309" t="str">
            <v>Нежилое здание об.S-1448,5кв.м Телятник №7 МТФ№3 Литер Щ2   Кад.№ 23:11:0702000:820</v>
          </cell>
          <cell r="D309">
            <v>40908</v>
          </cell>
          <cell r="E309">
            <v>40908</v>
          </cell>
          <cell r="F309">
            <v>4951974.58</v>
          </cell>
          <cell r="G309">
            <v>1.4002276176024278</v>
          </cell>
          <cell r="H309">
            <v>6933891.5685811825</v>
          </cell>
          <cell r="I309">
            <v>4.0027397260273974</v>
          </cell>
          <cell r="J309" t="str">
            <v>поликарбонат</v>
          </cell>
          <cell r="K309" t="str">
            <v>КС-6</v>
          </cell>
          <cell r="L309">
            <v>35</v>
          </cell>
          <cell r="M309">
            <v>0.11436399217221135</v>
          </cell>
          <cell r="N309">
            <v>0</v>
          </cell>
          <cell r="O309">
            <v>0</v>
          </cell>
          <cell r="P309">
            <v>0.11436399217221138</v>
          </cell>
          <cell r="Q309">
            <v>4293540.34</v>
          </cell>
          <cell r="R309">
            <v>2964.128643424232</v>
          </cell>
          <cell r="S309" t="str">
            <v>Соответствует</v>
          </cell>
          <cell r="T309">
            <v>6140904</v>
          </cell>
          <cell r="U309">
            <v>4239.4918881601661</v>
          </cell>
          <cell r="V309">
            <v>1.4302658211428381</v>
          </cell>
          <cell r="W309" t="str">
            <v>Соответствует</v>
          </cell>
          <cell r="X309" t="str">
            <v>отличное</v>
          </cell>
          <cell r="Y309">
            <v>0.1</v>
          </cell>
          <cell r="Z309">
            <v>6240502.4117230643</v>
          </cell>
          <cell r="AA309">
            <v>4308.2515786835102</v>
          </cell>
          <cell r="AB309">
            <v>1.4534630904907404</v>
          </cell>
          <cell r="AC309" t="str">
            <v>Соответствует</v>
          </cell>
          <cell r="AD309">
            <v>18609311</v>
          </cell>
          <cell r="AE309">
            <v>12847.297894373491</v>
          </cell>
          <cell r="AF309">
            <v>4.3342578679486685</v>
          </cell>
          <cell r="AG309">
            <v>1448.5</v>
          </cell>
          <cell r="AH309">
            <v>0</v>
          </cell>
          <cell r="AI309">
            <v>0</v>
          </cell>
          <cell r="AL309">
            <v>6140904</v>
          </cell>
          <cell r="AM309" t="str">
            <v>По сроку службы</v>
          </cell>
        </row>
        <row r="310">
          <cell r="A310">
            <v>96</v>
          </cell>
          <cell r="B310" t="str">
            <v>Р00008627</v>
          </cell>
          <cell r="C310" t="str">
            <v>Нежилое здание об.S-1448,5кв.м. Коровник №4  МТФ№3 Литер Ш2 Кад.№. 23:11:0702000:823</v>
          </cell>
          <cell r="D310">
            <v>40816</v>
          </cell>
          <cell r="E310">
            <v>40816</v>
          </cell>
          <cell r="F310">
            <v>3970327</v>
          </cell>
          <cell r="G310">
            <v>1.4002276176024278</v>
          </cell>
          <cell r="H310">
            <v>5559361.5163125945</v>
          </cell>
          <cell r="I310">
            <v>4.2547945205479456</v>
          </cell>
          <cell r="J310" t="str">
            <v>поликарбонат</v>
          </cell>
          <cell r="K310" t="str">
            <v>КС-6</v>
          </cell>
          <cell r="L310">
            <v>35</v>
          </cell>
          <cell r="M310">
            <v>0.12156555772994131</v>
          </cell>
          <cell r="N310">
            <v>0</v>
          </cell>
          <cell r="O310">
            <v>0</v>
          </cell>
          <cell r="P310">
            <v>0.12156555772994126</v>
          </cell>
          <cell r="Q310">
            <v>3549356.68</v>
          </cell>
          <cell r="R310">
            <v>2450.3670555747326</v>
          </cell>
          <cell r="S310" t="str">
            <v>Соответствует</v>
          </cell>
          <cell r="T310">
            <v>4883535</v>
          </cell>
          <cell r="U310">
            <v>3371.442871936486</v>
          </cell>
          <cell r="V310">
            <v>1.3758929970374236</v>
          </cell>
          <cell r="W310" t="str">
            <v>Соответствует</v>
          </cell>
          <cell r="X310" t="str">
            <v>отличное</v>
          </cell>
          <cell r="Y310">
            <v>0.1</v>
          </cell>
          <cell r="Z310">
            <v>5003425.3646813352</v>
          </cell>
          <cell r="AA310">
            <v>3454.2115047851812</v>
          </cell>
          <cell r="AB310">
            <v>1.4096710519049145</v>
          </cell>
          <cell r="AC310" t="str">
            <v>Соответствует</v>
          </cell>
          <cell r="AD310">
            <v>29086032</v>
          </cell>
          <cell r="AE310">
            <v>20080.104936140837</v>
          </cell>
          <cell r="AF310">
            <v>8.1947334749124163</v>
          </cell>
          <cell r="AG310">
            <v>1448.5</v>
          </cell>
          <cell r="AH310">
            <v>0</v>
          </cell>
          <cell r="AI310">
            <v>0</v>
          </cell>
          <cell r="AL310">
            <v>4883535</v>
          </cell>
          <cell r="AM310" t="str">
            <v>По сроку службы</v>
          </cell>
        </row>
        <row r="311">
          <cell r="A311">
            <v>97</v>
          </cell>
          <cell r="B311" t="str">
            <v>Р00009095</v>
          </cell>
          <cell r="C311" t="str">
            <v>Нежилое здание об.S-1448,5кв.м. Телятник №5  МТФ№3 Литер Щ  Кад.№ 23:11:0702000:819</v>
          </cell>
          <cell r="D311">
            <v>40908</v>
          </cell>
          <cell r="E311">
            <v>40908</v>
          </cell>
          <cell r="F311">
            <v>4951977.58</v>
          </cell>
          <cell r="G311">
            <v>1.4002276176024278</v>
          </cell>
          <cell r="H311">
            <v>6933895.7692640359</v>
          </cell>
          <cell r="I311">
            <v>4.0027397260273974</v>
          </cell>
          <cell r="J311" t="str">
            <v>поликарбонат</v>
          </cell>
          <cell r="K311" t="str">
            <v>КС-6</v>
          </cell>
          <cell r="L311">
            <v>35</v>
          </cell>
          <cell r="M311">
            <v>0.11436399217221135</v>
          </cell>
          <cell r="N311">
            <v>0</v>
          </cell>
          <cell r="O311">
            <v>0</v>
          </cell>
          <cell r="P311">
            <v>0.11436399217221138</v>
          </cell>
          <cell r="Q311">
            <v>4293542.8600000003</v>
          </cell>
          <cell r="R311">
            <v>2964.1303831549881</v>
          </cell>
          <cell r="S311" t="str">
            <v>Соответствует</v>
          </cell>
          <cell r="T311">
            <v>6140908</v>
          </cell>
          <cell r="U311">
            <v>4239.494649637556</v>
          </cell>
          <cell r="V311">
            <v>1.430265913311507</v>
          </cell>
          <cell r="W311" t="str">
            <v>Соответствует</v>
          </cell>
          <cell r="X311" t="str">
            <v>отличное</v>
          </cell>
          <cell r="Y311">
            <v>0.1</v>
          </cell>
          <cell r="Z311">
            <v>6240506.1923376322</v>
          </cell>
          <cell r="AA311">
            <v>4308.2541887039224</v>
          </cell>
          <cell r="AB311">
            <v>1.4534631179476876</v>
          </cell>
          <cell r="AC311" t="str">
            <v>Соответствует</v>
          </cell>
          <cell r="AD311">
            <v>29324485</v>
          </cell>
          <cell r="AE311">
            <v>20244.725578184327</v>
          </cell>
          <cell r="AF311">
            <v>6.8299038710422932</v>
          </cell>
          <cell r="AG311">
            <v>1448.5</v>
          </cell>
          <cell r="AH311">
            <v>0</v>
          </cell>
          <cell r="AI311">
            <v>0</v>
          </cell>
          <cell r="AL311">
            <v>6140908</v>
          </cell>
          <cell r="AM311" t="str">
            <v>По сроку службы</v>
          </cell>
        </row>
        <row r="312">
          <cell r="A312">
            <v>98</v>
          </cell>
          <cell r="B312" t="str">
            <v>Р00009096</v>
          </cell>
          <cell r="C312" t="str">
            <v>Нежилое здание об.S-1448,5кв.м.Телятник №6 МТФ№3 Литер Щ1  Кад.№ 23:11:0702000:821</v>
          </cell>
          <cell r="D312">
            <v>40908</v>
          </cell>
          <cell r="E312">
            <v>40908</v>
          </cell>
          <cell r="F312">
            <v>4951983.04</v>
          </cell>
          <cell r="G312">
            <v>1.4002276176024278</v>
          </cell>
          <cell r="H312">
            <v>6933903.4145068275</v>
          </cell>
          <cell r="I312">
            <v>4.0027397260273974</v>
          </cell>
          <cell r="J312" t="str">
            <v>поликарбонат</v>
          </cell>
          <cell r="K312" t="str">
            <v>КС-6</v>
          </cell>
          <cell r="L312">
            <v>35</v>
          </cell>
          <cell r="M312">
            <v>0.11436399217221135</v>
          </cell>
          <cell r="N312">
            <v>0</v>
          </cell>
          <cell r="O312">
            <v>0</v>
          </cell>
          <cell r="P312">
            <v>0.11436399217221138</v>
          </cell>
          <cell r="Q312">
            <v>4293547.84</v>
          </cell>
          <cell r="R312">
            <v>2964.1338211943389</v>
          </cell>
          <cell r="S312" t="str">
            <v>Соответствует</v>
          </cell>
          <cell r="T312">
            <v>6140915</v>
          </cell>
          <cell r="U312">
            <v>4239.4994822229892</v>
          </cell>
          <cell r="V312">
            <v>1.4302658847280947</v>
          </cell>
          <cell r="W312" t="str">
            <v>Соответствует</v>
          </cell>
          <cell r="X312" t="str">
            <v>отличное</v>
          </cell>
          <cell r="Y312">
            <v>0.1</v>
          </cell>
          <cell r="Z312">
            <v>6240513.0730561446</v>
          </cell>
          <cell r="AA312">
            <v>4308.2589389410732</v>
          </cell>
          <cell r="AB312">
            <v>1.4534630346767359</v>
          </cell>
          <cell r="AC312" t="str">
            <v>Соответствует</v>
          </cell>
          <cell r="AD312">
            <v>29324485</v>
          </cell>
          <cell r="AE312">
            <v>20244.725578184327</v>
          </cell>
          <cell r="AF312">
            <v>6.8298959491738191</v>
          </cell>
          <cell r="AG312">
            <v>1448.5</v>
          </cell>
          <cell r="AH312">
            <v>0</v>
          </cell>
          <cell r="AI312">
            <v>0</v>
          </cell>
          <cell r="AL312">
            <v>6140915</v>
          </cell>
          <cell r="AM312" t="str">
            <v>По сроку службы</v>
          </cell>
        </row>
        <row r="313">
          <cell r="A313">
            <v>99</v>
          </cell>
          <cell r="B313" t="str">
            <v>Р00008626</v>
          </cell>
          <cell r="C313" t="str">
            <v>Нежилое здание об.S-1448.5 кв.м. Коровник №2  МТФ№3  Литер Ш  Кад.№ 23:11:0702000:813</v>
          </cell>
          <cell r="D313">
            <v>40816</v>
          </cell>
          <cell r="E313">
            <v>40816</v>
          </cell>
          <cell r="F313">
            <v>3970327</v>
          </cell>
          <cell r="G313">
            <v>1.4002276176024278</v>
          </cell>
          <cell r="H313">
            <v>5559361.5163125945</v>
          </cell>
          <cell r="I313">
            <v>4.2547945205479456</v>
          </cell>
          <cell r="J313" t="str">
            <v>поликарбонат</v>
          </cell>
          <cell r="K313" t="str">
            <v>КС-6</v>
          </cell>
          <cell r="L313">
            <v>35</v>
          </cell>
          <cell r="M313">
            <v>0.12156555772994131</v>
          </cell>
          <cell r="N313">
            <v>0</v>
          </cell>
          <cell r="O313">
            <v>0</v>
          </cell>
          <cell r="P313">
            <v>0.12156555772994126</v>
          </cell>
          <cell r="Q313">
            <v>3549356.68</v>
          </cell>
          <cell r="R313">
            <v>2450.3670555747326</v>
          </cell>
          <cell r="S313" t="str">
            <v>Соответствует</v>
          </cell>
          <cell r="T313">
            <v>4883535</v>
          </cell>
          <cell r="U313">
            <v>3371.442871936486</v>
          </cell>
          <cell r="V313">
            <v>1.3758929970374236</v>
          </cell>
          <cell r="W313" t="str">
            <v>Соответствует</v>
          </cell>
          <cell r="X313" t="str">
            <v>отличное</v>
          </cell>
          <cell r="Y313">
            <v>0.1</v>
          </cell>
          <cell r="Z313">
            <v>5003425.3646813352</v>
          </cell>
          <cell r="AA313">
            <v>3454.2115047851812</v>
          </cell>
          <cell r="AB313">
            <v>1.4096710519049145</v>
          </cell>
          <cell r="AC313" t="str">
            <v>Соответствует</v>
          </cell>
          <cell r="AD313">
            <v>29086032</v>
          </cell>
          <cell r="AE313">
            <v>20080.104936140837</v>
          </cell>
          <cell r="AF313">
            <v>8.1947334749124163</v>
          </cell>
          <cell r="AG313">
            <v>1448.5</v>
          </cell>
          <cell r="AH313">
            <v>0</v>
          </cell>
          <cell r="AI313">
            <v>0</v>
          </cell>
          <cell r="AL313">
            <v>4883535</v>
          </cell>
          <cell r="AM313" t="str">
            <v>По сроку службы</v>
          </cell>
        </row>
        <row r="314">
          <cell r="A314">
            <v>103</v>
          </cell>
          <cell r="B314" t="str">
            <v>Р00010144</v>
          </cell>
          <cell r="C314" t="str">
            <v>Нежилое здание об.S-38,2кв.м. (Насосная станция №2 (тер. пруд)   Кад№ 23:11:0702000:815</v>
          </cell>
          <cell r="D314">
            <v>41633</v>
          </cell>
          <cell r="E314">
            <v>41633</v>
          </cell>
          <cell r="F314">
            <v>3787531.29</v>
          </cell>
          <cell r="G314">
            <v>1.0161046111493461</v>
          </cell>
          <cell r="H314">
            <v>3848528.0086414316</v>
          </cell>
          <cell r="I314">
            <v>2.0164383561643837</v>
          </cell>
          <cell r="J314" t="str">
            <v>металлические конструкции с утеплением</v>
          </cell>
          <cell r="K314" t="str">
            <v>КС-6</v>
          </cell>
          <cell r="L314">
            <v>35</v>
          </cell>
          <cell r="M314">
            <v>5.7612524461839537E-2</v>
          </cell>
          <cell r="N314">
            <v>0</v>
          </cell>
          <cell r="O314">
            <v>0</v>
          </cell>
          <cell r="P314">
            <v>5.7612524461839509E-2</v>
          </cell>
          <cell r="Q314">
            <v>3100744.41</v>
          </cell>
          <cell r="R314">
            <v>81171.319633507854</v>
          </cell>
          <cell r="S314" t="str">
            <v>Не соответствует</v>
          </cell>
          <cell r="T314">
            <v>3626805</v>
          </cell>
          <cell r="U314">
            <v>94942.539267015702</v>
          </cell>
          <cell r="V314">
            <v>1.1696562245838249</v>
          </cell>
          <cell r="W314" t="str">
            <v>Не соответствует</v>
          </cell>
          <cell r="X314" t="str">
            <v>отличное</v>
          </cell>
          <cell r="Y314">
            <v>0.05</v>
          </cell>
          <cell r="Z314">
            <v>3656101.6082093599</v>
          </cell>
          <cell r="AA314">
            <v>95709.466183491095</v>
          </cell>
          <cell r="AB314">
            <v>1.1791044745314432</v>
          </cell>
          <cell r="AC314" t="str">
            <v>Не соответствует</v>
          </cell>
          <cell r="AD314">
            <v>525109</v>
          </cell>
          <cell r="AE314">
            <v>13746.30890052356</v>
          </cell>
          <cell r="AF314">
            <v>0.16934933376208197</v>
          </cell>
          <cell r="AG314">
            <v>38.200000000000003</v>
          </cell>
          <cell r="AH314">
            <v>0</v>
          </cell>
          <cell r="AI314" t="str">
            <v>возможно с оборудованием?</v>
          </cell>
          <cell r="AL314">
            <v>525109</v>
          </cell>
          <cell r="AM314" t="str">
            <v>Ко-Инвест</v>
          </cell>
        </row>
        <row r="315">
          <cell r="A315">
            <v>105</v>
          </cell>
          <cell r="B315" t="str">
            <v>Ц00004238</v>
          </cell>
          <cell r="C315" t="str">
            <v>Нежилое здание об.пл. 1002,2 кв.м. (Телятник №9  МТФ№3) Кад № 23:11:0702000:889</v>
          </cell>
          <cell r="D315">
            <v>42115</v>
          </cell>
          <cell r="E315">
            <v>42115</v>
          </cell>
          <cell r="F315">
            <v>6486626.1200000001</v>
          </cell>
          <cell r="G315">
            <v>1.0055850701539299</v>
          </cell>
          <cell r="H315">
            <v>6522854.3819425143</v>
          </cell>
          <cell r="I315">
            <v>0.69589041095890414</v>
          </cell>
          <cell r="J315" t="str">
            <v>поликарбонат</v>
          </cell>
          <cell r="K315" t="str">
            <v>КС-6</v>
          </cell>
          <cell r="L315">
            <v>35</v>
          </cell>
          <cell r="M315">
            <v>1.9882583170254403E-2</v>
          </cell>
          <cell r="N315">
            <v>0</v>
          </cell>
          <cell r="O315">
            <v>0</v>
          </cell>
          <cell r="P315">
            <v>1.9882583170254375E-2</v>
          </cell>
          <cell r="Q315">
            <v>6342878.2000000002</v>
          </cell>
          <cell r="R315">
            <v>6328.9545000997805</v>
          </cell>
          <cell r="S315" t="str">
            <v>Соответствует</v>
          </cell>
          <cell r="T315">
            <v>6393163</v>
          </cell>
          <cell r="U315">
            <v>6379.1289163839547</v>
          </cell>
          <cell r="V315">
            <v>1.0079277574650574</v>
          </cell>
          <cell r="W315" t="str">
            <v>Соответствует</v>
          </cell>
          <cell r="X315" t="str">
            <v>отличное</v>
          </cell>
          <cell r="Y315">
            <v>0.05</v>
          </cell>
          <cell r="Z315">
            <v>6196711.6628453881</v>
          </cell>
          <cell r="AA315">
            <v>6183.1088234338331</v>
          </cell>
          <cell r="AB315">
            <v>0.976955802626856</v>
          </cell>
          <cell r="AC315" t="str">
            <v>Соответствует</v>
          </cell>
          <cell r="AD315">
            <v>14628675</v>
          </cell>
          <cell r="AE315">
            <v>14596.562562362802</v>
          </cell>
          <cell r="AF315">
            <v>2.3063149785849584</v>
          </cell>
          <cell r="AG315">
            <v>1002.2</v>
          </cell>
          <cell r="AH315">
            <v>0</v>
          </cell>
          <cell r="AI315">
            <v>0</v>
          </cell>
          <cell r="AL315">
            <v>6393163</v>
          </cell>
          <cell r="AM315" t="str">
            <v>По сроку службы</v>
          </cell>
        </row>
        <row r="316">
          <cell r="A316">
            <v>106</v>
          </cell>
          <cell r="B316" t="str">
            <v>Ц00004237</v>
          </cell>
          <cell r="C316" t="str">
            <v>Нежилое здание об.пл. 1004,1 кв.м. (Телятник №10  МТФ№3) Кад № 23:11:0702000:890</v>
          </cell>
          <cell r="D316">
            <v>42115</v>
          </cell>
          <cell r="E316">
            <v>42115</v>
          </cell>
          <cell r="F316">
            <v>6498923</v>
          </cell>
          <cell r="G316">
            <v>1.0055850701539299</v>
          </cell>
          <cell r="H316">
            <v>6535219.9408799885</v>
          </cell>
          <cell r="I316">
            <v>0.69589041095890414</v>
          </cell>
          <cell r="J316" t="str">
            <v>поликарбонат</v>
          </cell>
          <cell r="K316" t="str">
            <v>КС-6</v>
          </cell>
          <cell r="L316">
            <v>35</v>
          </cell>
          <cell r="M316">
            <v>1.9882583170254403E-2</v>
          </cell>
          <cell r="N316">
            <v>0</v>
          </cell>
          <cell r="O316">
            <v>0</v>
          </cell>
          <cell r="P316">
            <v>1.9882583170254375E-2</v>
          </cell>
          <cell r="Q316">
            <v>6354902.5199999996</v>
          </cell>
          <cell r="R316">
            <v>6328.9538093815354</v>
          </cell>
          <cell r="S316" t="str">
            <v>Соответствует</v>
          </cell>
          <cell r="T316">
            <v>6405283</v>
          </cell>
          <cell r="U316">
            <v>6379.1285728513094</v>
          </cell>
          <cell r="V316">
            <v>1.0079278131869756</v>
          </cell>
          <cell r="W316" t="str">
            <v>Соответствует</v>
          </cell>
          <cell r="X316" t="str">
            <v>отличное</v>
          </cell>
          <cell r="Y316">
            <v>0.05</v>
          </cell>
          <cell r="Z316">
            <v>6208458.9438359886</v>
          </cell>
          <cell r="AA316">
            <v>6183.108200215107</v>
          </cell>
          <cell r="AB316">
            <v>0.97695581077709259</v>
          </cell>
          <cell r="AC316" t="str">
            <v>Соответствует</v>
          </cell>
          <cell r="AD316">
            <v>14648979</v>
          </cell>
          <cell r="AE316">
            <v>14589.163429937256</v>
          </cell>
          <cell r="AF316">
            <v>2.3051461377884364</v>
          </cell>
          <cell r="AG316">
            <v>1004.1</v>
          </cell>
          <cell r="AH316">
            <v>0</v>
          </cell>
          <cell r="AI316">
            <v>0</v>
          </cell>
          <cell r="AL316">
            <v>6405283</v>
          </cell>
          <cell r="AM316" t="str">
            <v>По сроку службы</v>
          </cell>
        </row>
        <row r="317">
          <cell r="A317">
            <v>109</v>
          </cell>
          <cell r="B317" t="str">
            <v>Ц00004236</v>
          </cell>
          <cell r="C317" t="str">
            <v>Нежилое здание об.пл. 1115,4 кв.м. (Телятник №11  МТФ№3) Кад № 23:11:0702000:887</v>
          </cell>
          <cell r="D317">
            <v>42115</v>
          </cell>
          <cell r="E317">
            <v>42115</v>
          </cell>
          <cell r="F317">
            <v>7219300</v>
          </cell>
          <cell r="G317">
            <v>1.0055850701539299</v>
          </cell>
          <cell r="H317">
            <v>7259620.2969622668</v>
          </cell>
          <cell r="I317">
            <v>0.69589041095890414</v>
          </cell>
          <cell r="J317" t="str">
            <v>поликарбонат</v>
          </cell>
          <cell r="K317" t="str">
            <v>КС-6</v>
          </cell>
          <cell r="L317">
            <v>35</v>
          </cell>
          <cell r="M317">
            <v>1.9882583170254403E-2</v>
          </cell>
          <cell r="N317">
            <v>0</v>
          </cell>
          <cell r="O317">
            <v>0</v>
          </cell>
          <cell r="P317">
            <v>1.9882583170254375E-2</v>
          </cell>
          <cell r="Q317">
            <v>7059315.5199999996</v>
          </cell>
          <cell r="R317">
            <v>6328.9542047695886</v>
          </cell>
          <cell r="S317" t="str">
            <v>Соответствует</v>
          </cell>
          <cell r="T317">
            <v>7115280</v>
          </cell>
          <cell r="U317">
            <v>6379.1285637439478</v>
          </cell>
          <cell r="V317">
            <v>1.0079277487798137</v>
          </cell>
          <cell r="W317" t="str">
            <v>Соответствует</v>
          </cell>
          <cell r="X317" t="str">
            <v>отличное</v>
          </cell>
          <cell r="Y317">
            <v>0.05</v>
          </cell>
          <cell r="Z317">
            <v>6896639.2821141528</v>
          </cell>
          <cell r="AA317">
            <v>6183.1085548808969</v>
          </cell>
          <cell r="AB317">
            <v>0.97695580578244978</v>
          </cell>
          <cell r="AC317" t="str">
            <v>Соответствует</v>
          </cell>
          <cell r="AD317">
            <v>16254903</v>
          </cell>
          <cell r="AE317">
            <v>14573.160301237223</v>
          </cell>
          <cell r="AF317">
            <v>2.3026174356348932</v>
          </cell>
          <cell r="AG317">
            <v>1115.4000000000001</v>
          </cell>
          <cell r="AH317">
            <v>0</v>
          </cell>
          <cell r="AI317">
            <v>0</v>
          </cell>
          <cell r="AL317">
            <v>7115280</v>
          </cell>
          <cell r="AM317" t="str">
            <v>По сроку службы</v>
          </cell>
        </row>
        <row r="318">
          <cell r="A318">
            <v>110</v>
          </cell>
          <cell r="B318" t="str">
            <v>Ц00002376</v>
          </cell>
          <cell r="C318" t="str">
            <v>Нежилое здание Об.пл. 1222,6кв.м. (Силосохранилище №1) Кад№ 23:24:0701000:798 Лит Т(НП  МТФ№2)</v>
          </cell>
          <cell r="D318">
            <v>41935</v>
          </cell>
          <cell r="E318">
            <v>41935</v>
          </cell>
          <cell r="F318">
            <v>5167158.7</v>
          </cell>
          <cell r="G318">
            <v>0.98663458968190321</v>
          </cell>
          <cell r="H318">
            <v>5098097.5037957765</v>
          </cell>
          <cell r="I318">
            <v>1.189041095890411</v>
          </cell>
          <cell r="J318" t="str">
            <v>бетонное</v>
          </cell>
          <cell r="K318" t="str">
            <v>КС-10</v>
          </cell>
          <cell r="L318">
            <v>45</v>
          </cell>
          <cell r="M318">
            <v>2.6423135464231355E-2</v>
          </cell>
          <cell r="N318">
            <v>0</v>
          </cell>
          <cell r="O318">
            <v>0</v>
          </cell>
          <cell r="P318">
            <v>2.6423135464231362E-2</v>
          </cell>
          <cell r="Q318">
            <v>4767488.9400000004</v>
          </cell>
          <cell r="R318">
            <v>3899.467479142811</v>
          </cell>
          <cell r="S318" t="str">
            <v>Соответствует</v>
          </cell>
          <cell r="T318">
            <v>4963390</v>
          </cell>
          <cell r="U318">
            <v>4059.7006379846234</v>
          </cell>
          <cell r="V318">
            <v>1.0410910360706573</v>
          </cell>
          <cell r="W318" t="str">
            <v>Соответствует</v>
          </cell>
          <cell r="X318">
            <v>0</v>
          </cell>
          <cell r="Y318">
            <v>0</v>
          </cell>
          <cell r="Z318" t="str">
            <v/>
          </cell>
          <cell r="AA318" t="str">
            <v/>
          </cell>
          <cell r="AB318" t="e">
            <v>#VALUE!</v>
          </cell>
          <cell r="AC318" t="str">
            <v>Не рассчитывалась</v>
          </cell>
          <cell r="AD318">
            <v>39506117</v>
          </cell>
          <cell r="AE318">
            <v>32313.198920333718</v>
          </cell>
          <cell r="AF318">
            <v>8.2865671000382015</v>
          </cell>
          <cell r="AG318">
            <v>1222.5999999999999</v>
          </cell>
          <cell r="AH318">
            <v>0</v>
          </cell>
          <cell r="AI318">
            <v>0</v>
          </cell>
          <cell r="AJ3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18">
            <v>4963390</v>
          </cell>
          <cell r="AM318" t="str">
            <v>По сроку службы</v>
          </cell>
        </row>
        <row r="319">
          <cell r="A319">
            <v>111</v>
          </cell>
          <cell r="B319" t="str">
            <v>Ц00004235</v>
          </cell>
          <cell r="C319" t="str">
            <v xml:space="preserve">Нежилое здание об.пл. 1254,3 кв.м. (Телятник №8  МТФ№3) Кад № 23:11:0702000:891 </v>
          </cell>
          <cell r="D319">
            <v>42115</v>
          </cell>
          <cell r="E319">
            <v>42115</v>
          </cell>
          <cell r="F319">
            <v>8118315</v>
          </cell>
          <cell r="G319">
            <v>1.0055850701539299</v>
          </cell>
          <cell r="H319">
            <v>8163656.3588067014</v>
          </cell>
          <cell r="I319">
            <v>0.69589041095890414</v>
          </cell>
          <cell r="J319" t="str">
            <v>поликарбонат</v>
          </cell>
          <cell r="K319" t="str">
            <v>КС-6</v>
          </cell>
          <cell r="L319">
            <v>35</v>
          </cell>
          <cell r="M319">
            <v>1.9882583170254403E-2</v>
          </cell>
          <cell r="N319">
            <v>0</v>
          </cell>
          <cell r="O319">
            <v>0</v>
          </cell>
          <cell r="P319">
            <v>1.9882583170254375E-2</v>
          </cell>
          <cell r="Q319">
            <v>7938407.7199999997</v>
          </cell>
          <cell r="R319">
            <v>6328.9545722713865</v>
          </cell>
          <cell r="S319" t="str">
            <v>Соответствует</v>
          </cell>
          <cell r="T319">
            <v>8001342</v>
          </cell>
          <cell r="U319">
            <v>6379.1293948816074</v>
          </cell>
          <cell r="V319">
            <v>1.0079278215757859</v>
          </cell>
          <cell r="W319" t="str">
            <v>Соответствует</v>
          </cell>
          <cell r="X319" t="str">
            <v>отличное</v>
          </cell>
          <cell r="Y319">
            <v>0.05</v>
          </cell>
          <cell r="Z319">
            <v>7755473.5408663657</v>
          </cell>
          <cell r="AA319">
            <v>6183.1089379465566</v>
          </cell>
          <cell r="AB319">
            <v>0.97695580957970318</v>
          </cell>
          <cell r="AC319" t="str">
            <v>Соответствует</v>
          </cell>
          <cell r="AD319">
            <v>18285382</v>
          </cell>
          <cell r="AE319">
            <v>14578.156740811608</v>
          </cell>
          <cell r="AF319">
            <v>2.3034067592587699</v>
          </cell>
          <cell r="AG319">
            <v>1254.3</v>
          </cell>
          <cell r="AH319">
            <v>0</v>
          </cell>
          <cell r="AI319">
            <v>0</v>
          </cell>
          <cell r="AJ319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19">
            <v>1</v>
          </cell>
          <cell r="AL319">
            <v>8001342</v>
          </cell>
          <cell r="AM319" t="str">
            <v>По сроку службы</v>
          </cell>
        </row>
        <row r="320">
          <cell r="A320">
            <v>112</v>
          </cell>
          <cell r="B320" t="str">
            <v>Ц00002351</v>
          </cell>
          <cell r="C320" t="str">
            <v>Нежилое здание Об.пл. 1369,9кв.м. (Коровник№7) Кад№ 23:24:0701000:825 Литер Ч (НП  МТФ№2)</v>
          </cell>
          <cell r="D320">
            <v>41935</v>
          </cell>
          <cell r="E320">
            <v>41935</v>
          </cell>
          <cell r="F320">
            <v>8763840.3399999999</v>
          </cell>
          <cell r="G320">
            <v>0.98663458968190321</v>
          </cell>
          <cell r="H320">
            <v>8646708.0178936105</v>
          </cell>
          <cell r="I320">
            <v>1.189041095890411</v>
          </cell>
          <cell r="J320" t="str">
            <v>металлопрофиль, кирпич</v>
          </cell>
          <cell r="K320" t="str">
            <v>КС-1</v>
          </cell>
          <cell r="L320">
            <v>60</v>
          </cell>
          <cell r="M320">
            <v>1.9817351598173515E-2</v>
          </cell>
          <cell r="N320">
            <v>0</v>
          </cell>
          <cell r="O320">
            <v>0</v>
          </cell>
          <cell r="P320">
            <v>1.9817351598173549E-2</v>
          </cell>
          <cell r="Q320">
            <v>8085974.2000000002</v>
          </cell>
          <cell r="R320">
            <v>5902.6017957515141</v>
          </cell>
          <cell r="S320" t="str">
            <v>Соответствует</v>
          </cell>
          <cell r="T320">
            <v>8475353</v>
          </cell>
          <cell r="U320">
            <v>6186.8406453025764</v>
          </cell>
          <cell r="V320">
            <v>1.0481548407611787</v>
          </cell>
          <cell r="W320" t="str">
            <v>Соответствует</v>
          </cell>
          <cell r="X320" t="str">
            <v>отличное</v>
          </cell>
          <cell r="Y320">
            <v>0.1</v>
          </cell>
          <cell r="Z320">
            <v>7782037.2161042495</v>
          </cell>
          <cell r="AA320">
            <v>5680.7337879438273</v>
          </cell>
          <cell r="AB320">
            <v>0.96241182863336983</v>
          </cell>
          <cell r="AC320" t="str">
            <v>Соответствует</v>
          </cell>
          <cell r="AD320">
            <v>21022621</v>
          </cell>
          <cell r="AE320">
            <v>15346.098985327395</v>
          </cell>
          <cell r="AF320">
            <v>2.5998872219997931</v>
          </cell>
          <cell r="AG320">
            <v>1369.9</v>
          </cell>
          <cell r="AH320">
            <v>0</v>
          </cell>
          <cell r="AI320">
            <v>0</v>
          </cell>
          <cell r="AJ320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0">
            <v>1</v>
          </cell>
          <cell r="AL320">
            <v>7782037.2161042495</v>
          </cell>
          <cell r="AM320" t="str">
            <v>Экспертно</v>
          </cell>
        </row>
        <row r="321">
          <cell r="A321">
            <v>113</v>
          </cell>
          <cell r="B321" t="str">
            <v>Ц00002355</v>
          </cell>
          <cell r="C321" t="str">
            <v>Нежилое здание Об.пл. 1374,9кв.м. (Коровник№8) Кад№ 23:24:0701000:824 Литер Ш (НП  МТФ№2)</v>
          </cell>
          <cell r="D321">
            <v>41935</v>
          </cell>
          <cell r="E321">
            <v>41935</v>
          </cell>
          <cell r="F321">
            <v>8443719.0700000003</v>
          </cell>
          <cell r="G321">
            <v>0.98663458968190321</v>
          </cell>
          <cell r="H321">
            <v>8330865.3000187119</v>
          </cell>
          <cell r="I321">
            <v>1.189041095890411</v>
          </cell>
          <cell r="J321" t="str">
            <v>металлопрофиль</v>
          </cell>
          <cell r="K321" t="str">
            <v>КС-5</v>
          </cell>
          <cell r="L321">
            <v>40</v>
          </cell>
          <cell r="M321">
            <v>2.9726027397260275E-2</v>
          </cell>
          <cell r="N321">
            <v>0</v>
          </cell>
          <cell r="O321">
            <v>0</v>
          </cell>
          <cell r="P321">
            <v>2.9726027397260268E-2</v>
          </cell>
          <cell r="Q321">
            <v>7790613.75</v>
          </cell>
          <cell r="R321">
            <v>5666.3130045821508</v>
          </cell>
          <cell r="S321" t="str">
            <v>Соответствует</v>
          </cell>
          <cell r="T321">
            <v>8083222</v>
          </cell>
          <cell r="U321">
            <v>5879.1344825078186</v>
          </cell>
          <cell r="V321">
            <v>1.0375590754964588</v>
          </cell>
          <cell r="W321" t="str">
            <v>Соответствует</v>
          </cell>
          <cell r="X321" t="str">
            <v>отличное</v>
          </cell>
          <cell r="Y321">
            <v>0.1</v>
          </cell>
          <cell r="Z321">
            <v>7497778.7700168407</v>
          </cell>
          <cell r="AA321">
            <v>5453.3266201300748</v>
          </cell>
          <cell r="AB321">
            <v>0.962411821535478</v>
          </cell>
          <cell r="AC321" t="str">
            <v>Соответствует</v>
          </cell>
          <cell r="AD321">
            <v>27218786</v>
          </cell>
          <cell r="AE321">
            <v>19796.920503309331</v>
          </cell>
          <cell r="AF321">
            <v>3.4937922573815188</v>
          </cell>
          <cell r="AG321">
            <v>1374.9</v>
          </cell>
          <cell r="AH321">
            <v>0</v>
          </cell>
          <cell r="AI321">
            <v>0</v>
          </cell>
          <cell r="AJ321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1">
            <v>1</v>
          </cell>
          <cell r="AL321">
            <v>8083222</v>
          </cell>
          <cell r="AM321" t="str">
            <v>По сроку службы</v>
          </cell>
        </row>
        <row r="322">
          <cell r="A322">
            <v>114</v>
          </cell>
          <cell r="B322" t="str">
            <v>Ц00002317</v>
          </cell>
          <cell r="C322" t="str">
            <v>Нежилое здание Об.пл. 1475,3кв.м. (Коровник№1) Кад№ 23:24:0701000:789 Литер К (НП  МТФ№2)</v>
          </cell>
          <cell r="D322">
            <v>41935</v>
          </cell>
          <cell r="E322">
            <v>41935</v>
          </cell>
          <cell r="F322">
            <v>3344805.08</v>
          </cell>
          <cell r="G322">
            <v>0.98663458968190321</v>
          </cell>
          <cell r="H322">
            <v>3300100.3876717454</v>
          </cell>
          <cell r="I322">
            <v>1.189041095890411</v>
          </cell>
          <cell r="J322" t="str">
            <v>металлопрофиль</v>
          </cell>
          <cell r="K322" t="str">
            <v>КС-5</v>
          </cell>
          <cell r="L322">
            <v>40</v>
          </cell>
          <cell r="M322">
            <v>2.9726027397260275E-2</v>
          </cell>
          <cell r="N322">
            <v>0</v>
          </cell>
          <cell r="O322">
            <v>0</v>
          </cell>
          <cell r="P322">
            <v>2.9726027397260268E-2</v>
          </cell>
          <cell r="Q322">
            <v>3086090.8200000003</v>
          </cell>
          <cell r="R322">
            <v>2091.8395038297299</v>
          </cell>
          <cell r="S322" t="str">
            <v>Соответствует</v>
          </cell>
          <cell r="T322">
            <v>3202002</v>
          </cell>
          <cell r="U322">
            <v>2170.4073747712332</v>
          </cell>
          <cell r="V322">
            <v>1.0375592251688821</v>
          </cell>
          <cell r="W322" t="str">
            <v>Соответствует</v>
          </cell>
          <cell r="X322" t="str">
            <v>отличное</v>
          </cell>
          <cell r="Y322">
            <v>0.1</v>
          </cell>
          <cell r="Z322">
            <v>2970090.348904571</v>
          </cell>
          <cell r="AA322">
            <v>2013.2111088623135</v>
          </cell>
          <cell r="AB322">
            <v>0.96241184143264158</v>
          </cell>
          <cell r="AC322" t="str">
            <v>Соответствует</v>
          </cell>
          <cell r="AD322">
            <v>36964566</v>
          </cell>
          <cell r="AE322">
            <v>25055.626652206331</v>
          </cell>
          <cell r="AF322">
            <v>11.977795909454148</v>
          </cell>
          <cell r="AG322">
            <v>1475.3</v>
          </cell>
          <cell r="AH322">
            <v>0</v>
          </cell>
          <cell r="AI322">
            <v>0</v>
          </cell>
          <cell r="AJ322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2">
            <v>1</v>
          </cell>
          <cell r="AL322">
            <v>3202002</v>
          </cell>
          <cell r="AM322" t="str">
            <v>По сроку службы</v>
          </cell>
        </row>
        <row r="323">
          <cell r="A323">
            <v>115</v>
          </cell>
          <cell r="B323" t="str">
            <v>Ц00002320</v>
          </cell>
          <cell r="C323" t="str">
            <v>Нежилое здание Об.пл. 1475,3кв.м. (Коровник№2) Кад№ 23:24:0701000:790 Литер Л  (НП  МТФ№2)</v>
          </cell>
          <cell r="D323">
            <v>41935</v>
          </cell>
          <cell r="E323">
            <v>41935</v>
          </cell>
          <cell r="F323">
            <v>3211204.58</v>
          </cell>
          <cell r="G323">
            <v>0.98663458968190321</v>
          </cell>
          <cell r="H323">
            <v>3168285.5131729483</v>
          </cell>
          <cell r="I323">
            <v>1.189041095890411</v>
          </cell>
          <cell r="J323" t="str">
            <v>металлопрофиль</v>
          </cell>
          <cell r="K323" t="str">
            <v>КС-5</v>
          </cell>
          <cell r="L323">
            <v>40</v>
          </cell>
          <cell r="M323">
            <v>2.9726027397260275E-2</v>
          </cell>
          <cell r="N323">
            <v>0</v>
          </cell>
          <cell r="O323">
            <v>0</v>
          </cell>
          <cell r="P323">
            <v>2.9726027397260268E-2</v>
          </cell>
          <cell r="Q323">
            <v>2962824.14</v>
          </cell>
          <cell r="R323">
            <v>2008.285867281231</v>
          </cell>
          <cell r="S323" t="str">
            <v>Соответствует</v>
          </cell>
          <cell r="T323">
            <v>3074105</v>
          </cell>
          <cell r="U323">
            <v>2083.715176574256</v>
          </cell>
          <cell r="V323">
            <v>1.0375590499947795</v>
          </cell>
          <cell r="W323" t="str">
            <v>Соответствует</v>
          </cell>
          <cell r="X323" t="str">
            <v>отличное</v>
          </cell>
          <cell r="Y323">
            <v>0.1</v>
          </cell>
          <cell r="Z323">
            <v>2851456.9618556537</v>
          </cell>
          <cell r="AA323">
            <v>1932.7980491124881</v>
          </cell>
          <cell r="AB323">
            <v>0.96241181626650762</v>
          </cell>
          <cell r="AC323" t="str">
            <v>Соответствует</v>
          </cell>
          <cell r="AD323">
            <v>36964566</v>
          </cell>
          <cell r="AE323">
            <v>25055.626652206331</v>
          </cell>
          <cell r="AF323">
            <v>12.476125565792103</v>
          </cell>
          <cell r="AG323">
            <v>1475.3</v>
          </cell>
          <cell r="AH323">
            <v>0</v>
          </cell>
          <cell r="AI323">
            <v>0</v>
          </cell>
          <cell r="AJ323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3">
            <v>1</v>
          </cell>
          <cell r="AL323">
            <v>3074105</v>
          </cell>
          <cell r="AM323" t="str">
            <v>По сроку службы</v>
          </cell>
        </row>
        <row r="324">
          <cell r="A324">
            <v>116</v>
          </cell>
          <cell r="B324" t="str">
            <v>Ц00002327</v>
          </cell>
          <cell r="C324" t="str">
            <v>Нежилое здание Об.пл. 1475,3кв.м. (Коровник№3) Кад№ 23:24:0701000:782 Литер М (НП  МТФ№2)</v>
          </cell>
          <cell r="D324">
            <v>41935</v>
          </cell>
          <cell r="E324">
            <v>41935</v>
          </cell>
          <cell r="F324">
            <v>3391492.26</v>
          </cell>
          <cell r="G324">
            <v>0.98663458968190321</v>
          </cell>
          <cell r="H324">
            <v>3346163.5743544502</v>
          </cell>
          <cell r="I324">
            <v>1.189041095890411</v>
          </cell>
          <cell r="J324" t="str">
            <v>металлопрофиль</v>
          </cell>
          <cell r="K324" t="str">
            <v>КС-5</v>
          </cell>
          <cell r="L324">
            <v>40</v>
          </cell>
          <cell r="M324">
            <v>2.9726027397260275E-2</v>
          </cell>
          <cell r="N324">
            <v>0</v>
          </cell>
          <cell r="O324">
            <v>0</v>
          </cell>
          <cell r="P324">
            <v>2.9726027397260268E-2</v>
          </cell>
          <cell r="Q324">
            <v>3129166.84</v>
          </cell>
          <cell r="R324">
            <v>2121.0376465803565</v>
          </cell>
          <cell r="S324" t="str">
            <v>Соответствует</v>
          </cell>
          <cell r="T324">
            <v>3246695</v>
          </cell>
          <cell r="U324">
            <v>2200.7015522266656</v>
          </cell>
          <cell r="V324">
            <v>1.0375589305426745</v>
          </cell>
          <cell r="W324" t="str">
            <v>Соответствует</v>
          </cell>
          <cell r="X324" t="str">
            <v>отличное</v>
          </cell>
          <cell r="Y324">
            <v>0.1</v>
          </cell>
          <cell r="Z324">
            <v>3011547.2169190054</v>
          </cell>
          <cell r="AA324">
            <v>2041.311744674985</v>
          </cell>
          <cell r="AB324">
            <v>0.96241184024531123</v>
          </cell>
          <cell r="AC324" t="str">
            <v>Соответствует</v>
          </cell>
          <cell r="AD324">
            <v>36964566</v>
          </cell>
          <cell r="AE324">
            <v>25055.626652206331</v>
          </cell>
          <cell r="AF324">
            <v>11.812909918219638</v>
          </cell>
          <cell r="AG324">
            <v>1475.3</v>
          </cell>
          <cell r="AH324">
            <v>0</v>
          </cell>
          <cell r="AI324">
            <v>0</v>
          </cell>
          <cell r="AJ324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4">
            <v>1</v>
          </cell>
          <cell r="AL324">
            <v>3246695</v>
          </cell>
          <cell r="AM324" t="str">
            <v>По сроку службы</v>
          </cell>
        </row>
        <row r="325">
          <cell r="A325">
            <v>117</v>
          </cell>
          <cell r="B325" t="str">
            <v>Ц00002335</v>
          </cell>
          <cell r="C325" t="str">
            <v>Нежилое здание Об.пл. 1475,3кв.м. (Коровник№4) Кад№ 23:24:0701000:783 Литер Н (НП  МТФ№2)</v>
          </cell>
          <cell r="D325">
            <v>41935</v>
          </cell>
          <cell r="E325">
            <v>41935</v>
          </cell>
          <cell r="F325">
            <v>3330930.21</v>
          </cell>
          <cell r="G325">
            <v>0.98663458968190321</v>
          </cell>
          <cell r="H325">
            <v>3286410.9610024057</v>
          </cell>
          <cell r="I325">
            <v>1.189041095890411</v>
          </cell>
          <cell r="J325" t="str">
            <v>металлопрофиль</v>
          </cell>
          <cell r="K325" t="str">
            <v>КС-5</v>
          </cell>
          <cell r="L325">
            <v>40</v>
          </cell>
          <cell r="M325">
            <v>2.9726027397260275E-2</v>
          </cell>
          <cell r="N325">
            <v>0</v>
          </cell>
          <cell r="O325">
            <v>0</v>
          </cell>
          <cell r="P325">
            <v>2.9726027397260268E-2</v>
          </cell>
          <cell r="Q325">
            <v>3073289.19</v>
          </cell>
          <cell r="R325">
            <v>2083.1621975191488</v>
          </cell>
          <cell r="S325" t="str">
            <v>Соответствует</v>
          </cell>
          <cell r="T325">
            <v>3188719</v>
          </cell>
          <cell r="U325">
            <v>2161.4037822815699</v>
          </cell>
          <cell r="V325">
            <v>1.0375590459809609</v>
          </cell>
          <cell r="W325" t="str">
            <v>Соответствует</v>
          </cell>
          <cell r="X325" t="str">
            <v>отличное</v>
          </cell>
          <cell r="Y325">
            <v>0.1</v>
          </cell>
          <cell r="Z325">
            <v>2957769.8649021653</v>
          </cell>
          <cell r="AA325">
            <v>2004.8599368956588</v>
          </cell>
          <cell r="AB325">
            <v>0.96241182721309915</v>
          </cell>
          <cell r="AC325" t="str">
            <v>Соответствует</v>
          </cell>
          <cell r="AD325">
            <v>36964566</v>
          </cell>
          <cell r="AE325">
            <v>25055.626652206331</v>
          </cell>
          <cell r="AF325">
            <v>12.027688809851311</v>
          </cell>
          <cell r="AG325">
            <v>1475.3</v>
          </cell>
          <cell r="AH325">
            <v>0</v>
          </cell>
          <cell r="AI325">
            <v>0</v>
          </cell>
          <cell r="AJ325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5">
            <v>1</v>
          </cell>
          <cell r="AL325">
            <v>3188719</v>
          </cell>
          <cell r="AM325" t="str">
            <v>По сроку службы</v>
          </cell>
        </row>
        <row r="326">
          <cell r="A326">
            <v>118</v>
          </cell>
          <cell r="B326" t="str">
            <v>Ц00002340</v>
          </cell>
          <cell r="C326" t="str">
            <v>Нежилое здание Об.пл. 1475,3кв.м. (Коровник№5) Кад№ 23:24:0701000:800 Литер О (НП  МТФ№2)</v>
          </cell>
          <cell r="D326">
            <v>41935</v>
          </cell>
          <cell r="E326">
            <v>41935</v>
          </cell>
          <cell r="F326">
            <v>3449690.59</v>
          </cell>
          <cell r="G326">
            <v>0.98663458968190321</v>
          </cell>
          <cell r="H326">
            <v>3403584.0597941726</v>
          </cell>
          <cell r="I326">
            <v>1.189041095890411</v>
          </cell>
          <cell r="J326" t="str">
            <v>металлопрофиль</v>
          </cell>
          <cell r="K326" t="str">
            <v>КС-5</v>
          </cell>
          <cell r="L326">
            <v>40</v>
          </cell>
          <cell r="M326">
            <v>2.9726027397260275E-2</v>
          </cell>
          <cell r="N326">
            <v>0</v>
          </cell>
          <cell r="O326">
            <v>0</v>
          </cell>
          <cell r="P326">
            <v>2.9726027397260268E-2</v>
          </cell>
          <cell r="Q326">
            <v>3182863.75</v>
          </cell>
          <cell r="R326">
            <v>2157.4349284891209</v>
          </cell>
          <cell r="S326" t="str">
            <v>Соответствует</v>
          </cell>
          <cell r="T326">
            <v>3302409</v>
          </cell>
          <cell r="U326">
            <v>2238.466074696672</v>
          </cell>
          <cell r="V326">
            <v>1.037559022122766</v>
          </cell>
          <cell r="W326" t="str">
            <v>Соответствует</v>
          </cell>
          <cell r="X326" t="str">
            <v>отличное</v>
          </cell>
          <cell r="Y326">
            <v>0.1</v>
          </cell>
          <cell r="Z326">
            <v>3063225.6538147554</v>
          </cell>
          <cell r="AA326">
            <v>2076.3408485153905</v>
          </cell>
          <cell r="AB326">
            <v>0.96241180723326769</v>
          </cell>
          <cell r="AC326" t="str">
            <v>Соответствует</v>
          </cell>
          <cell r="AD326">
            <v>36964566</v>
          </cell>
          <cell r="AE326">
            <v>25055.626652206331</v>
          </cell>
          <cell r="AF326">
            <v>11.613618710508735</v>
          </cell>
          <cell r="AG326">
            <v>1475.3</v>
          </cell>
          <cell r="AH326">
            <v>0</v>
          </cell>
          <cell r="AI326">
            <v>0</v>
          </cell>
          <cell r="AJ326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6">
            <v>1</v>
          </cell>
          <cell r="AL326">
            <v>3302409</v>
          </cell>
          <cell r="AM326" t="str">
            <v>По сроку службы</v>
          </cell>
        </row>
        <row r="327">
          <cell r="A327">
            <v>119</v>
          </cell>
          <cell r="B327" t="str">
            <v>Ц00002346</v>
          </cell>
          <cell r="C327" t="str">
            <v>Нежилое здание Об.пл. 1475,3кв.м. (Коровник№6) Кад№ 23:24:0701000:801 Литер П (НП  МТФ№2)</v>
          </cell>
          <cell r="D327">
            <v>41935</v>
          </cell>
          <cell r="E327">
            <v>41935</v>
          </cell>
          <cell r="F327">
            <v>3449690.59</v>
          </cell>
          <cell r="G327">
            <v>0.98663458968190321</v>
          </cell>
          <cell r="H327">
            <v>3403584.0597941726</v>
          </cell>
          <cell r="I327">
            <v>1.189041095890411</v>
          </cell>
          <cell r="J327" t="str">
            <v>металлопрофиль</v>
          </cell>
          <cell r="K327" t="str">
            <v>КС-5</v>
          </cell>
          <cell r="L327">
            <v>40</v>
          </cell>
          <cell r="M327">
            <v>2.9726027397260275E-2</v>
          </cell>
          <cell r="N327">
            <v>0</v>
          </cell>
          <cell r="O327">
            <v>0</v>
          </cell>
          <cell r="P327">
            <v>2.9726027397260268E-2</v>
          </cell>
          <cell r="Q327">
            <v>3182863.75</v>
          </cell>
          <cell r="R327">
            <v>2157.4349284891209</v>
          </cell>
          <cell r="S327" t="str">
            <v>Соответствует</v>
          </cell>
          <cell r="T327">
            <v>3302409</v>
          </cell>
          <cell r="U327">
            <v>2238.466074696672</v>
          </cell>
          <cell r="V327">
            <v>1.037559022122766</v>
          </cell>
          <cell r="W327" t="str">
            <v>Соответствует</v>
          </cell>
          <cell r="X327" t="str">
            <v>отличное</v>
          </cell>
          <cell r="Y327">
            <v>0.1</v>
          </cell>
          <cell r="Z327">
            <v>3063225.6538147554</v>
          </cell>
          <cell r="AA327">
            <v>2076.3408485153905</v>
          </cell>
          <cell r="AB327">
            <v>0.96241180723326769</v>
          </cell>
          <cell r="AC327" t="str">
            <v>Соответствует</v>
          </cell>
          <cell r="AD327">
            <v>36964566</v>
          </cell>
          <cell r="AE327">
            <v>25055.626652206331</v>
          </cell>
          <cell r="AF327">
            <v>11.613618710508735</v>
          </cell>
          <cell r="AG327">
            <v>1475.3</v>
          </cell>
          <cell r="AH327">
            <v>0</v>
          </cell>
          <cell r="AI327">
            <v>0</v>
          </cell>
          <cell r="AJ327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7">
            <v>1</v>
          </cell>
          <cell r="AL327">
            <v>3302409</v>
          </cell>
          <cell r="AM327" t="str">
            <v>По сроку службы</v>
          </cell>
        </row>
        <row r="328">
          <cell r="A328">
            <v>126</v>
          </cell>
          <cell r="B328" t="str">
            <v>Ц00002284</v>
          </cell>
          <cell r="C328" t="str">
            <v>Нежилое здание Об.пл. 941,3кв.м. (Доильный блок) Кад№ 23:24:0701000:788 Литер И (НП  МТФ№2)</v>
          </cell>
          <cell r="D328">
            <v>41935</v>
          </cell>
          <cell r="E328">
            <v>41935</v>
          </cell>
          <cell r="F328">
            <v>6398019.46</v>
          </cell>
          <cell r="G328">
            <v>0.98663458968190321</v>
          </cell>
          <cell r="H328">
            <v>6312507.3046939317</v>
          </cell>
          <cell r="I328">
            <v>1.189041095890411</v>
          </cell>
          <cell r="J328" t="str">
            <v>монолитный бетон</v>
          </cell>
          <cell r="K328" t="str">
            <v>КС-3</v>
          </cell>
          <cell r="L328">
            <v>50</v>
          </cell>
          <cell r="M328">
            <v>2.3780821917808219E-2</v>
          </cell>
          <cell r="N328">
            <v>0</v>
          </cell>
          <cell r="O328">
            <v>0</v>
          </cell>
          <cell r="P328">
            <v>2.378082191780817E-2</v>
          </cell>
          <cell r="Q328">
            <v>5903145.0800000001</v>
          </cell>
          <cell r="R328">
            <v>6271.2685435036656</v>
          </cell>
          <cell r="S328" t="str">
            <v>Соответствует</v>
          </cell>
          <cell r="T328">
            <v>6162391</v>
          </cell>
          <cell r="U328">
            <v>6546.6811855943906</v>
          </cell>
          <cell r="V328">
            <v>1.0439165760771036</v>
          </cell>
          <cell r="W328" t="str">
            <v>Соответствует</v>
          </cell>
          <cell r="X328" t="str">
            <v>отличное</v>
          </cell>
          <cell r="Y328">
            <v>0.05</v>
          </cell>
          <cell r="Z328">
            <v>5996881.9394592345</v>
          </cell>
          <cell r="AA328">
            <v>6370.8508864965843</v>
          </cell>
          <cell r="AB328">
            <v>1.015879138694527</v>
          </cell>
          <cell r="AC328" t="str">
            <v>Соответствует</v>
          </cell>
          <cell r="AD328">
            <v>39924010</v>
          </cell>
          <cell r="AE328">
            <v>42413.693827685122</v>
          </cell>
          <cell r="AF328">
            <v>6.7631761474512162</v>
          </cell>
          <cell r="AG328">
            <v>941.3</v>
          </cell>
          <cell r="AH328">
            <v>0</v>
          </cell>
          <cell r="AI328">
            <v>0</v>
          </cell>
          <cell r="AJ328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из первой группы объектов (Ц00004235, Ц00002351, Ц00002355) составляет более 8 млн. руб., стоимость каждого из второй группы объектов (Ц00002317, Ц00002320, Ц00002327, Ц00002335, Ц00002340 и Ц00002346) составляет менее 3,5 млн. руб.</v>
          </cell>
          <cell r="AK328">
            <v>1</v>
          </cell>
          <cell r="AL328">
            <v>5996881.9394592345</v>
          </cell>
          <cell r="AM328" t="str">
            <v>Экспертно</v>
          </cell>
        </row>
        <row r="329">
          <cell r="A329">
            <v>145</v>
          </cell>
          <cell r="B329" t="str">
            <v>Р00008444</v>
          </cell>
          <cell r="C329" t="str">
            <v>Силосо-сенажная траншея №1 Об.S-1560,9 кв.м. МТФ №3  Литер Х  Кад№ 23:11:0702000:772</v>
          </cell>
          <cell r="D329">
            <v>40599</v>
          </cell>
          <cell r="E329">
            <v>40599</v>
          </cell>
          <cell r="F329">
            <v>7426069.5</v>
          </cell>
          <cell r="G329">
            <v>1.4002276176024278</v>
          </cell>
          <cell r="H329">
            <v>10398187.604135051</v>
          </cell>
          <cell r="I329">
            <v>4.8493150684931505</v>
          </cell>
          <cell r="J329" t="str">
            <v>бетонные</v>
          </cell>
          <cell r="K329" t="str">
            <v>КС-8</v>
          </cell>
          <cell r="L329">
            <v>45</v>
          </cell>
          <cell r="M329">
            <v>0.10776255707762557</v>
          </cell>
          <cell r="N329">
            <v>0</v>
          </cell>
          <cell r="O329">
            <v>0</v>
          </cell>
          <cell r="P329">
            <v>0.10776255707762561</v>
          </cell>
          <cell r="Q329">
            <v>6232961.3600000003</v>
          </cell>
          <cell r="R329">
            <v>3993.1842911141007</v>
          </cell>
          <cell r="S329" t="str">
            <v>Соответствует</v>
          </cell>
          <cell r="T329">
            <v>9277652</v>
          </cell>
          <cell r="U329">
            <v>5943.7837145236717</v>
          </cell>
          <cell r="V329">
            <v>1.4884821939598867</v>
          </cell>
          <cell r="W329" t="str">
            <v>Соответствует</v>
          </cell>
          <cell r="X329" t="str">
            <v>отличное</v>
          </cell>
          <cell r="Y329">
            <v>0.1</v>
          </cell>
          <cell r="Z329">
            <v>9358368.8437215462</v>
          </cell>
          <cell r="AA329">
            <v>5995.495447319845</v>
          </cell>
          <cell r="AB329">
            <v>1.5014321930148378</v>
          </cell>
          <cell r="AC329" t="str">
            <v>Соответствует</v>
          </cell>
          <cell r="AD329">
            <v>0</v>
          </cell>
          <cell r="AE329">
            <v>0</v>
          </cell>
          <cell r="AF329">
            <v>0</v>
          </cell>
          <cell r="AG329">
            <v>1560.9</v>
          </cell>
          <cell r="AH329">
            <v>0</v>
          </cell>
          <cell r="AI329">
            <v>0</v>
          </cell>
          <cell r="AL329">
            <v>9277652</v>
          </cell>
          <cell r="AM329" t="str">
            <v>По сроку службы</v>
          </cell>
        </row>
        <row r="330">
          <cell r="A330">
            <v>146</v>
          </cell>
          <cell r="B330" t="str">
            <v>Р00008445</v>
          </cell>
          <cell r="C330" t="str">
            <v>Силосо-сенажная траншея №2  Об.S-1560,9кв.м. МТФ №3  ЛитерЦ Кад№ 23:11:0702000:767</v>
          </cell>
          <cell r="D330">
            <v>40599</v>
          </cell>
          <cell r="E330">
            <v>40599</v>
          </cell>
          <cell r="F330">
            <v>7426069.5</v>
          </cell>
          <cell r="G330">
            <v>1.4002276176024278</v>
          </cell>
          <cell r="H330">
            <v>10398187.604135051</v>
          </cell>
          <cell r="I330">
            <v>4.8493150684931505</v>
          </cell>
          <cell r="J330" t="str">
            <v>бетонные</v>
          </cell>
          <cell r="K330" t="str">
            <v>КС-8</v>
          </cell>
          <cell r="L330">
            <v>45</v>
          </cell>
          <cell r="M330">
            <v>0.10776255707762557</v>
          </cell>
          <cell r="N330">
            <v>0</v>
          </cell>
          <cell r="O330">
            <v>0</v>
          </cell>
          <cell r="P330">
            <v>0.10776255707762561</v>
          </cell>
          <cell r="Q330">
            <v>6232961.3600000003</v>
          </cell>
          <cell r="R330">
            <v>3993.1842911141007</v>
          </cell>
          <cell r="S330" t="str">
            <v>Соответствует</v>
          </cell>
          <cell r="T330">
            <v>9277652</v>
          </cell>
          <cell r="U330">
            <v>5943.7837145236717</v>
          </cell>
          <cell r="V330">
            <v>1.4884821939598867</v>
          </cell>
          <cell r="W330" t="str">
            <v>Соответствует</v>
          </cell>
          <cell r="X330" t="str">
            <v>отличное</v>
          </cell>
          <cell r="Y330">
            <v>0.1</v>
          </cell>
          <cell r="Z330">
            <v>9358368.8437215462</v>
          </cell>
          <cell r="AA330">
            <v>5995.495447319845</v>
          </cell>
          <cell r="AB330">
            <v>1.5014321930148378</v>
          </cell>
          <cell r="AC330" t="str">
            <v>Соответствует</v>
          </cell>
          <cell r="AD330">
            <v>0</v>
          </cell>
          <cell r="AE330">
            <v>0</v>
          </cell>
          <cell r="AF330">
            <v>0</v>
          </cell>
          <cell r="AG330">
            <v>1560.9</v>
          </cell>
          <cell r="AH330">
            <v>0</v>
          </cell>
          <cell r="AI330" t="str">
            <v>в наименовании площадь 1560,9 кв. м, в таблице Недвижимость-1 - 621,4 кв. м. Уточнить - скорее всего ошибка.</v>
          </cell>
          <cell r="AJ330" t="str">
            <v>Судя по фото, траншея Р00008445 имеет такую же площадь, что и траншея Р00008445. В переданных данных ошибка в площади. Исправил.</v>
          </cell>
          <cell r="AL330">
            <v>9277652</v>
          </cell>
          <cell r="AM330" t="str">
            <v>По сроку службы</v>
          </cell>
        </row>
        <row r="331">
          <cell r="A331">
            <v>147</v>
          </cell>
          <cell r="B331" t="str">
            <v>Р00008446</v>
          </cell>
          <cell r="C331" t="str">
            <v>Силосо-сенажная траншея №3 Об. S-1560,9 кв.м. МТФ №3  Литер I    Кад№ 23:11:0702000:751</v>
          </cell>
          <cell r="D331">
            <v>40663</v>
          </cell>
          <cell r="E331">
            <v>40663</v>
          </cell>
          <cell r="F331">
            <v>3967948.91</v>
          </cell>
          <cell r="G331">
            <v>1.4002276176024278</v>
          </cell>
          <cell r="H331">
            <v>5556031.6490174504</v>
          </cell>
          <cell r="I331">
            <v>4.6739726027397257</v>
          </cell>
          <cell r="J331" t="str">
            <v>железобетон</v>
          </cell>
          <cell r="K331" t="str">
            <v>КС-4</v>
          </cell>
          <cell r="L331">
            <v>45</v>
          </cell>
          <cell r="M331">
            <v>0.10386605783866057</v>
          </cell>
          <cell r="N331">
            <v>0</v>
          </cell>
          <cell r="O331">
            <v>0</v>
          </cell>
          <cell r="P331">
            <v>0.10386605783866054</v>
          </cell>
          <cell r="Q331">
            <v>3352422.1100000003</v>
          </cell>
          <cell r="R331">
            <v>2147.7494458325327</v>
          </cell>
          <cell r="S331" t="str">
            <v>Соответствует</v>
          </cell>
          <cell r="T331">
            <v>4978949</v>
          </cell>
          <cell r="U331">
            <v>3189.7937087577679</v>
          </cell>
          <cell r="V331">
            <v>1.4851796213693387</v>
          </cell>
          <cell r="W331" t="str">
            <v>Соответствует</v>
          </cell>
          <cell r="X331" t="str">
            <v>отличное</v>
          </cell>
          <cell r="Y331">
            <v>0.1</v>
          </cell>
          <cell r="Z331">
            <v>5000428.4841157058</v>
          </cell>
          <cell r="AA331">
            <v>3203.5546698159433</v>
          </cell>
          <cell r="AB331">
            <v>1.4915867751855703</v>
          </cell>
          <cell r="AC331" t="str">
            <v>Соответствует</v>
          </cell>
          <cell r="AD331">
            <v>0</v>
          </cell>
          <cell r="AE331">
            <v>0</v>
          </cell>
          <cell r="AF331">
            <v>0</v>
          </cell>
          <cell r="AG331">
            <v>1560.9</v>
          </cell>
          <cell r="AH331">
            <v>0</v>
          </cell>
          <cell r="AI331">
            <v>0</v>
          </cell>
          <cell r="AJ331" t="str">
            <v>Чем обусловлена разница в балансовой стоимости в 2 раза между объектами Р00008444, Р00008445 и объектом Р00008446. Все объекты имеют одинаковую площадь, конструктив и физическое состояние. При этом, стоимость каждого из объектов  Р00008444, Р00008445 составляет более 7 млн. руб., стоимость объекта Р00008446 составляет менее 4 млн. руб.</v>
          </cell>
          <cell r="AK331">
            <v>1</v>
          </cell>
          <cell r="AL331">
            <v>4978949</v>
          </cell>
          <cell r="AM331" t="str">
            <v>По сроку службы</v>
          </cell>
        </row>
        <row r="332">
          <cell r="A332">
            <v>159</v>
          </cell>
          <cell r="B332">
            <v>411</v>
          </cell>
          <cell r="C332" t="str">
            <v>Фруктохранилище на 1200 т   (Семенной склад, (204) ЦЗС Об.S-2121,3 Литер В Кад№ 23:11:0607000:1855</v>
          </cell>
          <cell r="D332">
            <v>33953</v>
          </cell>
          <cell r="E332">
            <v>33953</v>
          </cell>
          <cell r="F332">
            <v>3371375.78</v>
          </cell>
          <cell r="G332">
            <v>13.261762999999998</v>
          </cell>
          <cell r="H332">
            <v>44710386.578300133</v>
          </cell>
          <cell r="I332">
            <v>23.057534246575344</v>
          </cell>
          <cell r="J332" t="str">
            <v>кирпичные</v>
          </cell>
          <cell r="K332" t="str">
            <v>КС-1</v>
          </cell>
          <cell r="L332">
            <v>60</v>
          </cell>
          <cell r="M332">
            <v>0.3842922374429224</v>
          </cell>
          <cell r="N332">
            <v>0</v>
          </cell>
          <cell r="O332">
            <v>0</v>
          </cell>
          <cell r="P332">
            <v>0.3842922374429224</v>
          </cell>
          <cell r="Q332">
            <v>2504909.6599999997</v>
          </cell>
          <cell r="R332">
            <v>1180.8370621788524</v>
          </cell>
          <cell r="S332" t="str">
            <v>Не соответствует</v>
          </cell>
          <cell r="T332">
            <v>27528532</v>
          </cell>
          <cell r="U332">
            <v>12977.19888747466</v>
          </cell>
          <cell r="V332">
            <v>10.989830267970623</v>
          </cell>
          <cell r="W332" t="str">
            <v>Соответствует</v>
          </cell>
          <cell r="X332" t="str">
            <v>отличное</v>
          </cell>
          <cell r="Y332">
            <v>0.2</v>
          </cell>
          <cell r="Z332">
            <v>35768309.262640111</v>
          </cell>
          <cell r="AA332">
            <v>16861.50439006275</v>
          </cell>
          <cell r="AB332">
            <v>14.279281138881517</v>
          </cell>
          <cell r="AC332" t="str">
            <v>Соответствует</v>
          </cell>
          <cell r="AD332">
            <v>28354040</v>
          </cell>
          <cell r="AE332">
            <v>13366.350822608776</v>
          </cell>
          <cell r="AF332">
            <v>11.319386264812442</v>
          </cell>
          <cell r="AG332">
            <v>2121.3000000000002</v>
          </cell>
          <cell r="AH332">
            <v>0</v>
          </cell>
          <cell r="AI332" t="str">
            <v>Уточнить состояние по фото</v>
          </cell>
          <cell r="AL332">
            <v>27528532</v>
          </cell>
          <cell r="AM332" t="str">
            <v>По сроку службы</v>
          </cell>
        </row>
        <row r="333">
          <cell r="A333">
            <v>178</v>
          </cell>
          <cell r="B333">
            <v>2655</v>
          </cell>
          <cell r="C333" t="str">
            <v>Авто-дорога с твердым покрытием</v>
          </cell>
          <cell r="D333">
            <v>33587</v>
          </cell>
          <cell r="E333">
            <v>33587</v>
          </cell>
          <cell r="F333">
            <v>2670100</v>
          </cell>
          <cell r="G333">
            <v>13.261762999999998</v>
          </cell>
          <cell r="H333">
            <v>35410233.386299998</v>
          </cell>
          <cell r="I333">
            <v>24.06027397260274</v>
          </cell>
          <cell r="J333" t="str">
            <v>Асфальт</v>
          </cell>
          <cell r="K333" t="str">
            <v>КС-8</v>
          </cell>
          <cell r="L333">
            <v>17</v>
          </cell>
          <cell r="M333">
            <v>0.8</v>
          </cell>
          <cell r="N333">
            <v>0</v>
          </cell>
          <cell r="O333">
            <v>0</v>
          </cell>
          <cell r="P333">
            <v>0.8</v>
          </cell>
          <cell r="Q333">
            <v>2391964.5</v>
          </cell>
          <cell r="R333" t="e">
            <v>#DIV/0!</v>
          </cell>
          <cell r="S333" t="str">
            <v>Не соответствует</v>
          </cell>
          <cell r="T333">
            <v>7082047</v>
          </cell>
          <cell r="U333" t="e">
            <v>#DIV/0!</v>
          </cell>
          <cell r="V333">
            <v>2.9607659310997301</v>
          </cell>
          <cell r="W333" t="str">
            <v>Соответствует</v>
          </cell>
          <cell r="X333">
            <v>0</v>
          </cell>
          <cell r="Y333">
            <v>0</v>
          </cell>
          <cell r="Z333" t="str">
            <v/>
          </cell>
          <cell r="AA333" t="str">
            <v/>
          </cell>
          <cell r="AB333" t="e">
            <v>#VALUE!</v>
          </cell>
          <cell r="AC333" t="str">
            <v>Не рассчитывалась</v>
          </cell>
          <cell r="AD333">
            <v>8884531</v>
          </cell>
          <cell r="AE333" t="str">
            <v>Не рассчитывалась</v>
          </cell>
          <cell r="AF333">
            <v>3.7143239374999086</v>
          </cell>
          <cell r="AG333">
            <v>0</v>
          </cell>
          <cell r="AH333">
            <v>0</v>
          </cell>
          <cell r="AI333">
            <v>0</v>
          </cell>
          <cell r="AJ333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33">
            <v>7082047</v>
          </cell>
          <cell r="AM333" t="str">
            <v>По сроку службы</v>
          </cell>
        </row>
        <row r="334">
          <cell r="A334">
            <v>199</v>
          </cell>
          <cell r="B334" t="str">
            <v>Р00010136</v>
          </cell>
          <cell r="C334" t="str">
            <v>Артскважина №1 Н  - орошение (МТФ№5)   Кад№ 23:11:0702000:875</v>
          </cell>
          <cell r="D334">
            <v>41633</v>
          </cell>
          <cell r="E334">
            <v>41633</v>
          </cell>
          <cell r="F334">
            <v>4095699.59</v>
          </cell>
          <cell r="G334">
            <v>1.0161046111493461</v>
          </cell>
          <cell r="H334">
            <v>4161659.2392814863</v>
          </cell>
          <cell r="I334">
            <v>2.0164383561643837</v>
          </cell>
          <cell r="J334" t="str">
            <v>стальная</v>
          </cell>
          <cell r="K334" t="str">
            <v>КС-12</v>
          </cell>
          <cell r="L334">
            <v>15</v>
          </cell>
          <cell r="M334">
            <v>0.13442922374429225</v>
          </cell>
          <cell r="N334">
            <v>0</v>
          </cell>
          <cell r="O334">
            <v>0</v>
          </cell>
          <cell r="P334">
            <v>0.13442922374429223</v>
          </cell>
          <cell r="Q334">
            <v>2484276.71</v>
          </cell>
          <cell r="R334" t="e">
            <v>#VALUE!</v>
          </cell>
          <cell r="S334" t="str">
            <v>Соответствует</v>
          </cell>
          <cell r="T334">
            <v>3602211</v>
          </cell>
          <cell r="U334" t="e">
            <v>#VALUE!</v>
          </cell>
          <cell r="V334">
            <v>1.4500039329354739</v>
          </cell>
          <cell r="W334" t="str">
            <v>Не соответствует</v>
          </cell>
          <cell r="X334">
            <v>0</v>
          </cell>
          <cell r="Y334">
            <v>0</v>
          </cell>
          <cell r="Z334" t="str">
            <v/>
          </cell>
          <cell r="AA334" t="str">
            <v/>
          </cell>
          <cell r="AB334" t="e">
            <v>#VALUE!</v>
          </cell>
          <cell r="AC334" t="str">
            <v>Не рассчитывалась</v>
          </cell>
          <cell r="AD334">
            <v>2491355</v>
          </cell>
          <cell r="AE334" t="str">
            <v>Не рассчитывалась</v>
          </cell>
          <cell r="AF334">
            <v>1.0028492357439522</v>
          </cell>
          <cell r="AG334" t="str">
            <v>Глубина 200 м.</v>
          </cell>
          <cell r="AH334">
            <v>0</v>
          </cell>
          <cell r="AI334">
            <v>0</v>
          </cell>
          <cell r="AJ334" t="str">
            <v>Фото не предоставлено. Расчет по Ко-Инвесту.</v>
          </cell>
          <cell r="AL334">
            <v>2491355</v>
          </cell>
          <cell r="AM334" t="str">
            <v>Ко-Инвест</v>
          </cell>
        </row>
        <row r="335">
          <cell r="A335">
            <v>200</v>
          </cell>
          <cell r="B335" t="str">
            <v>Р00010139</v>
          </cell>
          <cell r="C335" t="str">
            <v>Артскважина №2 Б  - орошение (МТФ№5)   Кад№ 23:11:0702000:876</v>
          </cell>
          <cell r="D335">
            <v>41633</v>
          </cell>
          <cell r="E335">
            <v>41633</v>
          </cell>
          <cell r="F335">
            <v>4204534.76</v>
          </cell>
          <cell r="G335">
            <v>1.0161046111493461</v>
          </cell>
          <cell r="H335">
            <v>4272247.1573737096</v>
          </cell>
          <cell r="I335">
            <v>2.0164383561643837</v>
          </cell>
          <cell r="J335" t="str">
            <v>стальная</v>
          </cell>
          <cell r="K335" t="str">
            <v>КС-12</v>
          </cell>
          <cell r="L335">
            <v>15</v>
          </cell>
          <cell r="M335">
            <v>0.13442922374429225</v>
          </cell>
          <cell r="N335">
            <v>0</v>
          </cell>
          <cell r="O335">
            <v>0</v>
          </cell>
          <cell r="P335">
            <v>0.13442922374429223</v>
          </cell>
          <cell r="Q335">
            <v>2550291.5599999996</v>
          </cell>
          <cell r="R335" t="e">
            <v>#VALUE!</v>
          </cell>
          <cell r="S335" t="str">
            <v>Соответствует</v>
          </cell>
          <cell r="T335">
            <v>3697932</v>
          </cell>
          <cell r="U335" t="e">
            <v>#VALUE!</v>
          </cell>
          <cell r="V335">
            <v>1.4500036223309309</v>
          </cell>
          <cell r="W335" t="str">
            <v>Не соответствует</v>
          </cell>
          <cell r="X335">
            <v>0</v>
          </cell>
          <cell r="Y335">
            <v>0</v>
          </cell>
          <cell r="Z335" t="str">
            <v/>
          </cell>
          <cell r="AA335" t="str">
            <v/>
          </cell>
          <cell r="AB335" t="e">
            <v>#VALUE!</v>
          </cell>
          <cell r="AC335" t="str">
            <v>Не рассчитывалась</v>
          </cell>
          <cell r="AD335">
            <v>2491355</v>
          </cell>
          <cell r="AE335" t="str">
            <v>Не рассчитывалась</v>
          </cell>
          <cell r="AF335">
            <v>0.97689026583297811</v>
          </cell>
          <cell r="AG335" t="str">
            <v>Глубина 200 м.</v>
          </cell>
          <cell r="AH335">
            <v>0</v>
          </cell>
          <cell r="AI335">
            <v>0</v>
          </cell>
          <cell r="AJ335" t="str">
            <v>Фото не предоставлено. Расчет по Ко-Инвесту.</v>
          </cell>
          <cell r="AL335">
            <v>2491355</v>
          </cell>
          <cell r="AM335" t="str">
            <v>Ко-Инвест</v>
          </cell>
        </row>
        <row r="336">
          <cell r="A336">
            <v>201</v>
          </cell>
          <cell r="B336" t="str">
            <v>Р00010137</v>
          </cell>
          <cell r="C336" t="str">
            <v>Артскважина №3 Н  - орошение (МТФ№5)  гл. 200м Кад№ 23:11:0702000:877</v>
          </cell>
          <cell r="D336">
            <v>41633</v>
          </cell>
          <cell r="E336">
            <v>41633</v>
          </cell>
          <cell r="F336">
            <v>3893232.6</v>
          </cell>
          <cell r="G336">
            <v>1.0161046111493461</v>
          </cell>
          <cell r="H336">
            <v>3955931.597136958</v>
          </cell>
          <cell r="I336">
            <v>2.0164383561643837</v>
          </cell>
          <cell r="J336" t="str">
            <v>стальная</v>
          </cell>
          <cell r="K336" t="str">
            <v>КС-12</v>
          </cell>
          <cell r="L336">
            <v>15</v>
          </cell>
          <cell r="M336">
            <v>0.13442922374429225</v>
          </cell>
          <cell r="N336">
            <v>0</v>
          </cell>
          <cell r="O336">
            <v>0</v>
          </cell>
          <cell r="P336">
            <v>0.13442922374429223</v>
          </cell>
          <cell r="Q336">
            <v>2361468.84</v>
          </cell>
          <cell r="R336" t="e">
            <v>#VALUE!</v>
          </cell>
          <cell r="S336" t="str">
            <v>Соответствует</v>
          </cell>
          <cell r="T336">
            <v>3424139</v>
          </cell>
          <cell r="U336" t="e">
            <v>#VALUE!</v>
          </cell>
          <cell r="V336">
            <v>1.450003888257954</v>
          </cell>
          <cell r="W336" t="str">
            <v>Не соответствует</v>
          </cell>
          <cell r="X336">
            <v>0</v>
          </cell>
          <cell r="Y336">
            <v>0</v>
          </cell>
          <cell r="Z336" t="str">
            <v/>
          </cell>
          <cell r="AA336" t="str">
            <v/>
          </cell>
          <cell r="AB336" t="e">
            <v>#VALUE!</v>
          </cell>
          <cell r="AC336" t="str">
            <v>Не рассчитывалась</v>
          </cell>
          <cell r="AD336">
            <v>2491355</v>
          </cell>
          <cell r="AE336" t="str">
            <v>Не рассчитывалась</v>
          </cell>
          <cell r="AF336">
            <v>1.0550022756175772</v>
          </cell>
          <cell r="AG336" t="str">
            <v>Глубина 200 м.</v>
          </cell>
          <cell r="AH336">
            <v>0</v>
          </cell>
          <cell r="AI336">
            <v>0</v>
          </cell>
          <cell r="AJ336" t="str">
            <v>Фото не предоставлено. Расчет по Ко-Инвесту.</v>
          </cell>
          <cell r="AL336">
            <v>2491355</v>
          </cell>
          <cell r="AM336" t="str">
            <v>Ко-Инвест</v>
          </cell>
        </row>
        <row r="337">
          <cell r="A337">
            <v>210</v>
          </cell>
          <cell r="B337" t="str">
            <v>Р00009592</v>
          </cell>
          <cell r="C337" t="str">
            <v>Благоустройство  территории МТФ№3  Литер VIII Об.пл. 1680 кв.м.Кад№ 23:11:0702000:852</v>
          </cell>
          <cell r="D337">
            <v>41003</v>
          </cell>
          <cell r="E337">
            <v>41003</v>
          </cell>
          <cell r="F337">
            <v>5059137.66</v>
          </cell>
          <cell r="G337">
            <v>1.1736089030206676</v>
          </cell>
          <cell r="H337">
            <v>5937448.9993831469</v>
          </cell>
          <cell r="I337">
            <v>3.7424657534246575</v>
          </cell>
          <cell r="J337" t="str">
            <v>асфальтобетон</v>
          </cell>
          <cell r="K337" t="str">
            <v>КС-8</v>
          </cell>
          <cell r="L337">
            <v>20</v>
          </cell>
          <cell r="M337">
            <v>0.18712328767123287</v>
          </cell>
          <cell r="N337">
            <v>0</v>
          </cell>
          <cell r="O337">
            <v>0</v>
          </cell>
          <cell r="P337">
            <v>0.18712328767123287</v>
          </cell>
          <cell r="Q337">
            <v>3829291.9000000004</v>
          </cell>
          <cell r="R337">
            <v>2279.3404166666669</v>
          </cell>
          <cell r="S337" t="str">
            <v>Соответствует</v>
          </cell>
          <cell r="T337">
            <v>4826414</v>
          </cell>
          <cell r="U337">
            <v>2872.8654761904763</v>
          </cell>
          <cell r="V337">
            <v>1.2603933379954659</v>
          </cell>
          <cell r="W337" t="str">
            <v>Не соответствует</v>
          </cell>
          <cell r="X337">
            <v>0</v>
          </cell>
          <cell r="Y337">
            <v>0</v>
          </cell>
          <cell r="Z337" t="str">
            <v/>
          </cell>
          <cell r="AA337" t="str">
            <v/>
          </cell>
          <cell r="AB337" t="e">
            <v>#VALUE!</v>
          </cell>
          <cell r="AC337" t="str">
            <v>Не рассчитывалась</v>
          </cell>
          <cell r="AD337">
            <v>1578478</v>
          </cell>
          <cell r="AE337">
            <v>939.5702380952381</v>
          </cell>
          <cell r="AF337">
            <v>0.41221145872948467</v>
          </cell>
          <cell r="AG337">
            <v>1680</v>
          </cell>
          <cell r="AH337">
            <v>0</v>
          </cell>
          <cell r="AI337">
            <v>0</v>
          </cell>
          <cell r="AJ337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7">
            <v>1578478</v>
          </cell>
          <cell r="AM337" t="str">
            <v>Ко-Инвест</v>
          </cell>
        </row>
        <row r="338">
          <cell r="A338">
            <v>218</v>
          </cell>
          <cell r="B338" t="str">
            <v>Р00008270</v>
          </cell>
          <cell r="C338" t="str">
            <v>Благоустройство МТФ№3  Литер IV об.пл. 1660 кв.м.  Об.пл. 1660 кв.м. Кад№ 23:11:0702000:758</v>
          </cell>
          <cell r="D338">
            <v>40381</v>
          </cell>
          <cell r="E338">
            <v>40381</v>
          </cell>
          <cell r="F338">
            <v>3648075.1</v>
          </cell>
          <cell r="G338">
            <v>1.4577409162717219</v>
          </cell>
          <cell r="H338">
            <v>5317948.3389020534</v>
          </cell>
          <cell r="I338">
            <v>5.4465753424657537</v>
          </cell>
          <cell r="J338" t="str">
            <v>асфальтобетон</v>
          </cell>
          <cell r="K338" t="str">
            <v>КС-8</v>
          </cell>
          <cell r="L338">
            <v>20</v>
          </cell>
          <cell r="M338">
            <v>0.27232876712328768</v>
          </cell>
          <cell r="N338">
            <v>0</v>
          </cell>
          <cell r="O338">
            <v>0</v>
          </cell>
          <cell r="P338">
            <v>0.27232876712328768</v>
          </cell>
          <cell r="Q338">
            <v>2337992.9500000002</v>
          </cell>
          <cell r="R338">
            <v>1408.4294879518072</v>
          </cell>
          <cell r="S338" t="str">
            <v>Соответствует</v>
          </cell>
          <cell r="T338">
            <v>3869718</v>
          </cell>
          <cell r="U338">
            <v>2331.1554216867471</v>
          </cell>
          <cell r="V338">
            <v>1.655145281768279</v>
          </cell>
          <cell r="W338" t="str">
            <v>Не соответствует</v>
          </cell>
          <cell r="X338">
            <v>0</v>
          </cell>
          <cell r="Y338">
            <v>0</v>
          </cell>
          <cell r="Z338" t="str">
            <v/>
          </cell>
          <cell r="AA338" t="str">
            <v/>
          </cell>
          <cell r="AB338" t="e">
            <v>#VALUE!</v>
          </cell>
          <cell r="AC338" t="str">
            <v>Не рассчитывалась</v>
          </cell>
          <cell r="AD338">
            <v>1396200</v>
          </cell>
          <cell r="AE338">
            <v>841.08433734939763</v>
          </cell>
          <cell r="AF338">
            <v>0.59717887515443535</v>
          </cell>
          <cell r="AG338">
            <v>1660</v>
          </cell>
          <cell r="AH338">
            <v>0</v>
          </cell>
          <cell r="AI338">
            <v>0</v>
          </cell>
          <cell r="AJ338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8">
            <v>1396200</v>
          </cell>
          <cell r="AM338" t="str">
            <v>Ко-Инвест</v>
          </cell>
        </row>
        <row r="339">
          <cell r="A339">
            <v>220</v>
          </cell>
          <cell r="B339" t="str">
            <v>Ц00003325</v>
          </cell>
          <cell r="C339" t="str">
            <v>Благоустройство территории  (КС  МТФ№1)  (КС)</v>
          </cell>
          <cell r="D339">
            <v>41913</v>
          </cell>
          <cell r="E339">
            <v>41913</v>
          </cell>
          <cell r="F339">
            <v>4035167.82</v>
          </cell>
          <cell r="G339">
            <v>0.98663458968190321</v>
          </cell>
          <cell r="H339">
            <v>3981236.1463833195</v>
          </cell>
          <cell r="I339">
            <v>1.2493150684931507</v>
          </cell>
          <cell r="J339" t="str">
            <v>асфальтобетон</v>
          </cell>
          <cell r="K339" t="str">
            <v>КС-8</v>
          </cell>
          <cell r="L339">
            <v>20</v>
          </cell>
          <cell r="M339">
            <v>6.246575342465753E-2</v>
          </cell>
          <cell r="N339">
            <v>0</v>
          </cell>
          <cell r="O339">
            <v>0</v>
          </cell>
          <cell r="P339">
            <v>6.2465753424657544E-2</v>
          </cell>
          <cell r="Q339">
            <v>3577704.0999999996</v>
          </cell>
          <cell r="R339">
            <v>5222.9256934306568</v>
          </cell>
          <cell r="S339" t="str">
            <v>Соответствует</v>
          </cell>
          <cell r="T339">
            <v>3732545</v>
          </cell>
          <cell r="U339">
            <v>5448.9708029197081</v>
          </cell>
          <cell r="V339">
            <v>1.0432794036823785</v>
          </cell>
          <cell r="W339" t="str">
            <v>Не соответствует</v>
          </cell>
          <cell r="X339">
            <v>0</v>
          </cell>
          <cell r="Y339">
            <v>0</v>
          </cell>
          <cell r="Z339" t="str">
            <v/>
          </cell>
          <cell r="AA339" t="str">
            <v/>
          </cell>
          <cell r="AB339" t="e">
            <v>#VALUE!</v>
          </cell>
          <cell r="AC339" t="str">
            <v>Не рассчитывалась</v>
          </cell>
          <cell r="AD339">
            <v>742305</v>
          </cell>
          <cell r="AE339">
            <v>1083.6569343065694</v>
          </cell>
          <cell r="AF339">
            <v>0.20748082548246516</v>
          </cell>
          <cell r="AG339">
            <v>685</v>
          </cell>
          <cell r="AH339">
            <v>0</v>
          </cell>
          <cell r="AI339">
            <v>0</v>
          </cell>
          <cell r="AJ339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9">
            <v>742305</v>
          </cell>
          <cell r="AM339" t="str">
            <v>Ко-Инвест</v>
          </cell>
        </row>
        <row r="340">
          <cell r="A340">
            <v>223</v>
          </cell>
          <cell r="B340" t="str">
            <v>Р00009094</v>
          </cell>
          <cell r="C340" t="str">
            <v>Внутриплощадочные дороги МТФ№3 (благоустр. у телят. №5,6,7 ) Литер VII Кад.№23:11:0702000:853</v>
          </cell>
          <cell r="D340">
            <v>40908</v>
          </cell>
          <cell r="E340">
            <v>40908</v>
          </cell>
          <cell r="F340">
            <v>3957627.12</v>
          </cell>
          <cell r="G340">
            <v>1.4002276176024278</v>
          </cell>
          <cell r="H340">
            <v>5541578.793596358</v>
          </cell>
          <cell r="I340">
            <v>4.0027397260273974</v>
          </cell>
          <cell r="J340" t="str">
            <v>асфальтобетон</v>
          </cell>
          <cell r="K340" t="str">
            <v>КС-8</v>
          </cell>
          <cell r="L340">
            <v>20</v>
          </cell>
          <cell r="M340">
            <v>0.20013698630136986</v>
          </cell>
          <cell r="N340">
            <v>0</v>
          </cell>
          <cell r="O340">
            <v>0</v>
          </cell>
          <cell r="P340">
            <v>0.20013698630136989</v>
          </cell>
          <cell r="Q340">
            <v>2908090.8</v>
          </cell>
          <cell r="R340">
            <v>1951.7387919463085</v>
          </cell>
          <cell r="S340" t="str">
            <v>Соответствует</v>
          </cell>
          <cell r="T340">
            <v>4432504</v>
          </cell>
          <cell r="U340">
            <v>2974.8348993288591</v>
          </cell>
          <cell r="V340">
            <v>1.5241972499620715</v>
          </cell>
          <cell r="W340" t="str">
            <v>Не соответствует</v>
          </cell>
          <cell r="X340">
            <v>0</v>
          </cell>
          <cell r="Y340">
            <v>0</v>
          </cell>
          <cell r="Z340" t="str">
            <v/>
          </cell>
          <cell r="AA340" t="str">
            <v/>
          </cell>
          <cell r="AB340" t="e">
            <v>#VALUE!</v>
          </cell>
          <cell r="AC340" t="str">
            <v>Не рассчитывалась</v>
          </cell>
          <cell r="AD340">
            <v>1377547</v>
          </cell>
          <cell r="AE340">
            <v>924.52818791946311</v>
          </cell>
          <cell r="AF340">
            <v>0.47369463154314168</v>
          </cell>
          <cell r="AG340">
            <v>1490</v>
          </cell>
          <cell r="AH340">
            <v>0</v>
          </cell>
          <cell r="AI340">
            <v>0</v>
          </cell>
          <cell r="AJ340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40">
            <v>1377547</v>
          </cell>
          <cell r="AM340" t="str">
            <v>Ко-Инвест</v>
          </cell>
        </row>
        <row r="341">
          <cell r="A341">
            <v>243</v>
          </cell>
          <cell r="B341" t="str">
            <v>Ц00004420</v>
          </cell>
          <cell r="C341" t="str">
            <v>Здание нежилое Об.пл. 768,1 кв.м. Кад№ 23:24:0701000:836  Литер Э (Сенохранилище №2 на МТФ№2) (НП)</v>
          </cell>
          <cell r="D341">
            <v>42122</v>
          </cell>
          <cell r="E341">
            <v>42121</v>
          </cell>
          <cell r="F341">
            <v>3866914.38</v>
          </cell>
          <cell r="G341">
            <v>1.0055850701539299</v>
          </cell>
          <cell r="H341">
            <v>3888511.3680915404</v>
          </cell>
          <cell r="I341">
            <v>0.67945205479452053</v>
          </cell>
          <cell r="J341" t="str">
            <v>металлопрофиль</v>
          </cell>
          <cell r="K341" t="str">
            <v>КС-6</v>
          </cell>
          <cell r="L341">
            <v>35</v>
          </cell>
          <cell r="M341">
            <v>1.9412915851272014E-2</v>
          </cell>
          <cell r="N341">
            <v>0</v>
          </cell>
          <cell r="O341">
            <v>0</v>
          </cell>
          <cell r="P341">
            <v>1.9412915851272028E-2</v>
          </cell>
          <cell r="Q341">
            <v>3696001.02</v>
          </cell>
          <cell r="R341">
            <v>4811.8747819294358</v>
          </cell>
          <cell r="S341" t="str">
            <v>Соответствует</v>
          </cell>
          <cell r="T341">
            <v>3813024</v>
          </cell>
          <cell r="U341">
            <v>4964.2286160656167</v>
          </cell>
          <cell r="V341">
            <v>1.0316620529504075</v>
          </cell>
          <cell r="W341" t="str">
            <v>Соответствует</v>
          </cell>
          <cell r="X341" t="str">
            <v>хорошее</v>
          </cell>
          <cell r="Y341">
            <v>0.1</v>
          </cell>
          <cell r="Z341">
            <v>3499660.2312823865</v>
          </cell>
          <cell r="AA341">
            <v>4556.2559969826671</v>
          </cell>
          <cell r="AB341">
            <v>0.9468775068905112</v>
          </cell>
          <cell r="AC341" t="str">
            <v>Соответствует</v>
          </cell>
          <cell r="AD341">
            <v>2042961</v>
          </cell>
          <cell r="AE341">
            <v>2659.7591459445384</v>
          </cell>
          <cell r="AF341">
            <v>0.5527490357673116</v>
          </cell>
          <cell r="AG341">
            <v>768.1</v>
          </cell>
          <cell r="AH341">
            <v>0</v>
          </cell>
          <cell r="AI341">
            <v>0</v>
          </cell>
          <cell r="AL341">
            <v>3813024</v>
          </cell>
          <cell r="AM341" t="str">
            <v>По сроку службы</v>
          </cell>
        </row>
        <row r="342">
          <cell r="A342">
            <v>248</v>
          </cell>
          <cell r="B342" t="str">
            <v>Р00010140</v>
          </cell>
          <cell r="C342" t="str">
            <v>Кластер №1  Кад№ 23:11:0702000:879</v>
          </cell>
          <cell r="D342">
            <v>41633</v>
          </cell>
          <cell r="E342">
            <v>41633</v>
          </cell>
          <cell r="F342">
            <v>13723786.699999999</v>
          </cell>
          <cell r="G342">
            <v>1.0161046111493461</v>
          </cell>
          <cell r="H342">
            <v>13944802.948300067</v>
          </cell>
          <cell r="I342">
            <v>2.0164383561643837</v>
          </cell>
          <cell r="J342" t="str">
            <v>бетон</v>
          </cell>
          <cell r="K342" t="str">
            <v>КС-3</v>
          </cell>
          <cell r="L342">
            <v>45</v>
          </cell>
          <cell r="M342">
            <v>4.4809741248097418E-2</v>
          </cell>
          <cell r="N342">
            <v>0</v>
          </cell>
          <cell r="O342">
            <v>0</v>
          </cell>
          <cell r="P342">
            <v>4.4809741248097446E-2</v>
          </cell>
          <cell r="Q342">
            <v>8324264.0599999996</v>
          </cell>
          <cell r="R342" t="e">
            <v>#VALUE!</v>
          </cell>
          <cell r="S342" t="str">
            <v>Соответствует</v>
          </cell>
          <cell r="T342">
            <v>13319940</v>
          </cell>
          <cell r="U342" t="e">
            <v>#VALUE!</v>
          </cell>
          <cell r="V342">
            <v>1.6001342465822739</v>
          </cell>
          <cell r="W342" t="str">
            <v>Соответствует</v>
          </cell>
          <cell r="X342">
            <v>0</v>
          </cell>
          <cell r="Y342">
            <v>0</v>
          </cell>
          <cell r="Z342" t="str">
            <v/>
          </cell>
          <cell r="AA342" t="str">
            <v/>
          </cell>
          <cell r="AB342" t="e">
            <v>#VALUE!</v>
          </cell>
          <cell r="AC342" t="str">
            <v>Не рассчитывалась</v>
          </cell>
          <cell r="AD342" t="str">
            <v>Если все еще ошибка, то проверить всё</v>
          </cell>
          <cell r="AE342" t="str">
            <v>Не рассчитывалась</v>
          </cell>
          <cell r="AF342" t="e">
            <v>#VALUE!</v>
          </cell>
          <cell r="AG342" t="str">
            <v>протяженность - 6190 м.</v>
          </cell>
          <cell r="AH342">
            <v>0</v>
          </cell>
          <cell r="AI342">
            <v>0</v>
          </cell>
          <cell r="AJ342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2">
            <v>1</v>
          </cell>
          <cell r="AL342">
            <v>13319940</v>
          </cell>
          <cell r="AM342" t="str">
            <v>По сроку службы</v>
          </cell>
        </row>
        <row r="343">
          <cell r="A343">
            <v>249</v>
          </cell>
          <cell r="B343" t="str">
            <v>Р00010141</v>
          </cell>
          <cell r="C343" t="str">
            <v>Кластер №2  Кад№ 23:11:0702000:878</v>
          </cell>
          <cell r="D343">
            <v>41633</v>
          </cell>
          <cell r="E343">
            <v>41633</v>
          </cell>
          <cell r="F343">
            <v>9835871.2300000004</v>
          </cell>
          <cell r="G343">
            <v>1.0161046111493461</v>
          </cell>
          <cell r="H343">
            <v>9994274.1114741918</v>
          </cell>
          <cell r="I343">
            <v>2.0164383561643837</v>
          </cell>
          <cell r="J343" t="str">
            <v>бетон</v>
          </cell>
          <cell r="K343" t="str">
            <v>КС-3</v>
          </cell>
          <cell r="L343">
            <v>45</v>
          </cell>
          <cell r="M343">
            <v>4.4809741248097418E-2</v>
          </cell>
          <cell r="N343">
            <v>0</v>
          </cell>
          <cell r="O343">
            <v>0</v>
          </cell>
          <cell r="P343">
            <v>4.4809741248097446E-2</v>
          </cell>
          <cell r="Q343">
            <v>5966020.2700000005</v>
          </cell>
          <cell r="R343" t="e">
            <v>#VALUE!</v>
          </cell>
          <cell r="S343" t="str">
            <v>Соответствует</v>
          </cell>
          <cell r="T343">
            <v>9546433</v>
          </cell>
          <cell r="U343" t="e">
            <v>#VALUE!</v>
          </cell>
          <cell r="V343">
            <v>1.6001341879450235</v>
          </cell>
          <cell r="W343" t="str">
            <v>Соответствует</v>
          </cell>
          <cell r="X343">
            <v>0</v>
          </cell>
          <cell r="Y343">
            <v>0</v>
          </cell>
          <cell r="Z343" t="str">
            <v/>
          </cell>
          <cell r="AA343" t="str">
            <v/>
          </cell>
          <cell r="AB343" t="e">
            <v>#VALUE!</v>
          </cell>
          <cell r="AC343" t="str">
            <v>Не рассчитывалась</v>
          </cell>
          <cell r="AD343" t="str">
            <v>Если все еще ошибка, то проверить всё</v>
          </cell>
          <cell r="AE343" t="str">
            <v>Не рассчитывалась</v>
          </cell>
          <cell r="AF343" t="e">
            <v>#VALUE!</v>
          </cell>
          <cell r="AG343" t="str">
            <v>протяженность - 2691 м.</v>
          </cell>
          <cell r="AH343">
            <v>0</v>
          </cell>
          <cell r="AI343">
            <v>0</v>
          </cell>
          <cell r="AJ343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3">
            <v>1</v>
          </cell>
          <cell r="AL343">
            <v>9546433</v>
          </cell>
          <cell r="AM343" t="str">
            <v>По сроку службы</v>
          </cell>
        </row>
        <row r="344">
          <cell r="A344">
            <v>251</v>
          </cell>
          <cell r="B344" t="str">
            <v>Р00010143</v>
          </cell>
          <cell r="C344" t="str">
            <v>Кластер №5  кад№  23:11:0702000:882</v>
          </cell>
          <cell r="D344">
            <v>41633</v>
          </cell>
          <cell r="E344">
            <v>41633</v>
          </cell>
          <cell r="F344">
            <v>9570686.8399999999</v>
          </cell>
          <cell r="G344">
            <v>1.0161046111493461</v>
          </cell>
          <cell r="H344">
            <v>9724819.0299903639</v>
          </cell>
          <cell r="I344">
            <v>2.0164383561643837</v>
          </cell>
          <cell r="J344" t="str">
            <v>бетон</v>
          </cell>
          <cell r="K344" t="str">
            <v>КС-3</v>
          </cell>
          <cell r="L344">
            <v>45</v>
          </cell>
          <cell r="M344">
            <v>4.4809741248097418E-2</v>
          </cell>
          <cell r="N344">
            <v>0</v>
          </cell>
          <cell r="O344">
            <v>0</v>
          </cell>
          <cell r="P344">
            <v>4.4809741248097446E-2</v>
          </cell>
          <cell r="Q344">
            <v>5805170.5999999996</v>
          </cell>
          <cell r="R344" t="e">
            <v>#VALUE!</v>
          </cell>
          <cell r="S344" t="str">
            <v>Соответствует</v>
          </cell>
          <cell r="T344">
            <v>9289052</v>
          </cell>
          <cell r="U344" t="e">
            <v>#VALUE!</v>
          </cell>
          <cell r="V344">
            <v>1.6001341976065269</v>
          </cell>
          <cell r="W344" t="str">
            <v>Соответствует</v>
          </cell>
          <cell r="X344">
            <v>0</v>
          </cell>
          <cell r="Y344">
            <v>0</v>
          </cell>
          <cell r="Z344" t="str">
            <v/>
          </cell>
          <cell r="AA344" t="str">
            <v/>
          </cell>
          <cell r="AB344" t="e">
            <v>#VALUE!</v>
          </cell>
          <cell r="AC344" t="str">
            <v>Не рассчитывалась</v>
          </cell>
          <cell r="AD344" t="str">
            <v>Если все еще ошибка, то проверить всё</v>
          </cell>
          <cell r="AE344" t="str">
            <v>Не рассчитывалась</v>
          </cell>
          <cell r="AF344" t="e">
            <v>#VALUE!</v>
          </cell>
          <cell r="AG344" t="str">
            <v>Протяженность 2958 м</v>
          </cell>
          <cell r="AH344">
            <v>0</v>
          </cell>
          <cell r="AI344">
            <v>0</v>
          </cell>
          <cell r="AJ344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4">
            <v>1</v>
          </cell>
          <cell r="AL344">
            <v>9289052</v>
          </cell>
          <cell r="AM344" t="str">
            <v>По сроку службы</v>
          </cell>
        </row>
        <row r="345">
          <cell r="A345">
            <v>252</v>
          </cell>
          <cell r="B345">
            <v>604</v>
          </cell>
          <cell r="C345" t="str">
            <v>Корпус №5 МТФ №5(407)     Литер Д,д1,д2 Об.пл. 6504,5 кв.м. Кад№  23:11:0702000:746</v>
          </cell>
          <cell r="D345">
            <v>34318</v>
          </cell>
          <cell r="E345">
            <v>34318</v>
          </cell>
          <cell r="F345">
            <v>15474872.890000001</v>
          </cell>
          <cell r="G345">
            <v>13.261762999999998</v>
          </cell>
          <cell r="H345">
            <v>205224096.72230506</v>
          </cell>
          <cell r="I345">
            <v>22.057534246575344</v>
          </cell>
          <cell r="J345" t="str">
            <v>металлические конструкции с обшивкой полимерным материалом</v>
          </cell>
          <cell r="K345" t="str">
            <v>КС-12</v>
          </cell>
          <cell r="L345">
            <v>35</v>
          </cell>
          <cell r="M345">
            <v>0.630215264187867</v>
          </cell>
          <cell r="N345">
            <v>0</v>
          </cell>
          <cell r="O345">
            <v>0</v>
          </cell>
          <cell r="P345">
            <v>0.630215264187867</v>
          </cell>
          <cell r="Q345">
            <v>13010878.690000001</v>
          </cell>
          <cell r="R345">
            <v>2000.2888292720427</v>
          </cell>
          <cell r="S345" t="str">
            <v>Соответствует</v>
          </cell>
          <cell r="T345">
            <v>75888738</v>
          </cell>
          <cell r="U345">
            <v>11667.113229302789</v>
          </cell>
          <cell r="V345">
            <v>5.8327142853408613</v>
          </cell>
          <cell r="W345" t="str">
            <v>Не соответствует</v>
          </cell>
          <cell r="X345">
            <v>0</v>
          </cell>
          <cell r="Y345">
            <v>0</v>
          </cell>
          <cell r="Z345" t="str">
            <v/>
          </cell>
          <cell r="AA345" t="str">
            <v/>
          </cell>
          <cell r="AB345" t="e">
            <v>#VALUE!</v>
          </cell>
          <cell r="AC345" t="str">
            <v>Не рассчитывалась</v>
          </cell>
          <cell r="AD345">
            <v>8840818</v>
          </cell>
          <cell r="AE345">
            <v>1359.1848720116843</v>
          </cell>
          <cell r="AF345">
            <v>0.67949430708280623</v>
          </cell>
          <cell r="AG345">
            <v>6504.5</v>
          </cell>
          <cell r="AH345">
            <v>0</v>
          </cell>
          <cell r="AI345" t="str">
            <v>Уточнить состояние по фото</v>
          </cell>
          <cell r="AJ345" t="str">
            <v>Фото не предоставлено. Расчет по Ко-Инвесту.</v>
          </cell>
          <cell r="AL345">
            <v>8840818</v>
          </cell>
          <cell r="AM345" t="str">
            <v>Ко-Инвест</v>
          </cell>
        </row>
        <row r="346">
          <cell r="A346">
            <v>257</v>
          </cell>
          <cell r="B346">
            <v>601</v>
          </cell>
          <cell r="C346" t="str">
            <v>Крытый ток( 277)Литер:Р (S-5909,2 кв.м.)( 277) бр.2 Кад№ 23:11:0702000:808</v>
          </cell>
          <cell r="D346">
            <v>33953</v>
          </cell>
          <cell r="E346">
            <v>33953</v>
          </cell>
          <cell r="F346">
            <v>6439766.9299999997</v>
          </cell>
          <cell r="G346">
            <v>13.261762999999998</v>
          </cell>
          <cell r="H346">
            <v>85402662.800897568</v>
          </cell>
          <cell r="I346">
            <v>23.057534246575344</v>
          </cell>
          <cell r="J346" t="str">
            <v>ж/б панели</v>
          </cell>
          <cell r="K346" t="str">
            <v>КС-12</v>
          </cell>
          <cell r="L346">
            <v>45</v>
          </cell>
          <cell r="M346">
            <v>0.51238964992389657</v>
          </cell>
          <cell r="N346">
            <v>0</v>
          </cell>
          <cell r="O346">
            <v>0</v>
          </cell>
          <cell r="P346">
            <v>0.51238964992389657</v>
          </cell>
          <cell r="Q346">
            <v>4253918.8099999996</v>
          </cell>
          <cell r="R346">
            <v>719.88066235700262</v>
          </cell>
          <cell r="S346" t="str">
            <v>Соответствует</v>
          </cell>
          <cell r="T346">
            <v>41643222</v>
          </cell>
          <cell r="U346">
            <v>7047.184390442023</v>
          </cell>
          <cell r="V346">
            <v>9.7893786553016042</v>
          </cell>
          <cell r="W346" t="str">
            <v>Не соответствует</v>
          </cell>
          <cell r="X346">
            <v>0</v>
          </cell>
          <cell r="Y346">
            <v>0</v>
          </cell>
          <cell r="Z346" t="str">
            <v/>
          </cell>
          <cell r="AA346" t="str">
            <v/>
          </cell>
          <cell r="AB346" t="e">
            <v>#VALUE!</v>
          </cell>
          <cell r="AC346" t="str">
            <v>Не рассчитывалась</v>
          </cell>
          <cell r="AD346">
            <v>2562044</v>
          </cell>
          <cell r="AE346">
            <v>433.56867257835239</v>
          </cell>
          <cell r="AF346">
            <v>0.60227853761035943</v>
          </cell>
          <cell r="AG346">
            <v>5909.2</v>
          </cell>
          <cell r="AH346">
            <v>0</v>
          </cell>
          <cell r="AI346">
            <v>0</v>
          </cell>
          <cell r="AJ346" t="str">
            <v>Фото не предоставлено. Расчет по Ко-Инвесту.</v>
          </cell>
          <cell r="AL346">
            <v>2562044</v>
          </cell>
          <cell r="AM346" t="str">
            <v>Ко-Инвест</v>
          </cell>
        </row>
        <row r="347">
          <cell r="A347">
            <v>269</v>
          </cell>
          <cell r="B347" t="str">
            <v>Ц00004287</v>
          </cell>
          <cell r="C347" t="str">
            <v>Навозохранилище №1 МТФ№1 Об. 5835,8 куб.м. (КС)</v>
          </cell>
          <cell r="D347">
            <v>42150</v>
          </cell>
          <cell r="E347">
            <v>42150</v>
          </cell>
          <cell r="F347">
            <v>9496692.3599999994</v>
          </cell>
          <cell r="G347">
            <v>1.0055850701539299</v>
          </cell>
          <cell r="H347">
            <v>9549732.0530608892</v>
          </cell>
          <cell r="I347">
            <v>0.6</v>
          </cell>
          <cell r="J347" t="str">
            <v>Бетон</v>
          </cell>
          <cell r="K347" t="str">
            <v>КС-8</v>
          </cell>
          <cell r="L347">
            <v>40</v>
          </cell>
          <cell r="M347">
            <v>1.4999999999999999E-2</v>
          </cell>
          <cell r="N347">
            <v>0</v>
          </cell>
          <cell r="O347">
            <v>0</v>
          </cell>
          <cell r="P347">
            <v>1.5000000000000013E-2</v>
          </cell>
          <cell r="Q347">
            <v>9129416.9900000002</v>
          </cell>
          <cell r="R347" t="e">
            <v>#DIV/0!</v>
          </cell>
          <cell r="S347" t="str">
            <v>Соответствует</v>
          </cell>
          <cell r="T347">
            <v>9406486</v>
          </cell>
          <cell r="U347" t="e">
            <v>#DIV/0!</v>
          </cell>
          <cell r="V347">
            <v>1.0303490365598911</v>
          </cell>
          <cell r="W347" t="str">
            <v>Соответствует</v>
          </cell>
          <cell r="X347">
            <v>0</v>
          </cell>
          <cell r="Y347">
            <v>0</v>
          </cell>
          <cell r="Z347" t="str">
            <v/>
          </cell>
          <cell r="AA347" t="str">
            <v/>
          </cell>
          <cell r="AB347" t="e">
            <v>#VALUE!</v>
          </cell>
          <cell r="AC347" t="str">
            <v>Не рассчитывалась</v>
          </cell>
          <cell r="AD347">
            <v>9319209</v>
          </cell>
          <cell r="AE347">
            <v>6387.3947909527069</v>
          </cell>
          <cell r="AF347">
            <v>1.0207890613615185</v>
          </cell>
          <cell r="AG347">
            <v>0</v>
          </cell>
          <cell r="AH347">
            <v>0</v>
          </cell>
          <cell r="AI347">
            <v>0</v>
          </cell>
          <cell r="AJ347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7">
            <v>9406486</v>
          </cell>
          <cell r="AM347" t="str">
            <v>По сроку службы</v>
          </cell>
        </row>
        <row r="348">
          <cell r="A348">
            <v>271</v>
          </cell>
          <cell r="B348" t="str">
            <v>Ц00004402</v>
          </cell>
          <cell r="C348" t="str">
            <v>Навозохранилище №2 МТФ№1 Об. 4856,79 куб.м. (КС)</v>
          </cell>
          <cell r="D348">
            <v>42150</v>
          </cell>
          <cell r="E348">
            <v>41935</v>
          </cell>
          <cell r="F348">
            <v>5752576.5499999998</v>
          </cell>
          <cell r="G348">
            <v>1.0055850701539299</v>
          </cell>
          <cell r="H348">
            <v>5784705.0935976021</v>
          </cell>
          <cell r="I348">
            <v>1.189041095890411</v>
          </cell>
          <cell r="J348" t="str">
            <v>бетонное</v>
          </cell>
          <cell r="K348" t="str">
            <v>КС-10</v>
          </cell>
          <cell r="L348">
            <v>40</v>
          </cell>
          <cell r="M348">
            <v>2.9726027397260275E-2</v>
          </cell>
          <cell r="N348">
            <v>0</v>
          </cell>
          <cell r="O348">
            <v>0</v>
          </cell>
          <cell r="P348">
            <v>2.9726027397260268E-2</v>
          </cell>
          <cell r="Q348">
            <v>5530101.2199999997</v>
          </cell>
          <cell r="R348">
            <v>6909.1719390304843</v>
          </cell>
          <cell r="S348" t="str">
            <v>Соответствует</v>
          </cell>
          <cell r="T348">
            <v>5612749</v>
          </cell>
          <cell r="U348">
            <v>7012.4300349825089</v>
          </cell>
          <cell r="V348">
            <v>1.0149450754537908</v>
          </cell>
          <cell r="W348" t="str">
            <v>Соответствует</v>
          </cell>
          <cell r="X348">
            <v>0</v>
          </cell>
          <cell r="Y348">
            <v>0</v>
          </cell>
          <cell r="Z348" t="str">
            <v/>
          </cell>
          <cell r="AA348" t="str">
            <v/>
          </cell>
          <cell r="AB348" t="e">
            <v>#VALUE!</v>
          </cell>
          <cell r="AC348" t="str">
            <v>Не рассчитывалась</v>
          </cell>
          <cell r="AD348">
            <v>7480942</v>
          </cell>
          <cell r="AE348">
            <v>9346.5042478760624</v>
          </cell>
          <cell r="AF348">
            <v>1.3527676442783085</v>
          </cell>
          <cell r="AG348">
            <v>800.4</v>
          </cell>
          <cell r="AH348">
            <v>0</v>
          </cell>
          <cell r="AI348">
            <v>0</v>
          </cell>
          <cell r="AJ348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8">
            <v>5612749</v>
          </cell>
          <cell r="AM348" t="str">
            <v>По сроку службы</v>
          </cell>
        </row>
        <row r="349">
          <cell r="A349">
            <v>273</v>
          </cell>
          <cell r="B349" t="str">
            <v>Ц00004403</v>
          </cell>
          <cell r="C349" t="str">
            <v>Навозохранилище №3 МТФ№1 Об. 2959,7 куб.м.  (КС)</v>
          </cell>
          <cell r="D349">
            <v>42150</v>
          </cell>
          <cell r="E349">
            <v>42150</v>
          </cell>
          <cell r="F349">
            <v>5752576.5499999998</v>
          </cell>
          <cell r="G349">
            <v>1.0055850701539299</v>
          </cell>
          <cell r="H349">
            <v>5784705.0935976021</v>
          </cell>
          <cell r="I349">
            <v>0.6</v>
          </cell>
          <cell r="J349" t="str">
            <v>бетон</v>
          </cell>
          <cell r="K349" t="str">
            <v>КС-10</v>
          </cell>
          <cell r="L349">
            <v>40</v>
          </cell>
          <cell r="M349">
            <v>1.4999999999999999E-2</v>
          </cell>
          <cell r="N349">
            <v>0</v>
          </cell>
          <cell r="O349">
            <v>0</v>
          </cell>
          <cell r="P349">
            <v>1.5000000000000013E-2</v>
          </cell>
          <cell r="Q349">
            <v>5530101.2199999997</v>
          </cell>
          <cell r="R349" t="e">
            <v>#DIV/0!</v>
          </cell>
          <cell r="S349" t="str">
            <v>Соответствует</v>
          </cell>
          <cell r="T349">
            <v>5697935</v>
          </cell>
          <cell r="U349" t="e">
            <v>#DIV/0!</v>
          </cell>
          <cell r="V349">
            <v>1.0303491334648665</v>
          </cell>
          <cell r="W349" t="str">
            <v>Соответствует</v>
          </cell>
          <cell r="X349">
            <v>0</v>
          </cell>
          <cell r="Y349">
            <v>0</v>
          </cell>
          <cell r="Z349" t="str">
            <v/>
          </cell>
          <cell r="AA349" t="str">
            <v/>
          </cell>
          <cell r="AB349" t="e">
            <v>#VALUE!</v>
          </cell>
          <cell r="AC349" t="str">
            <v>Не рассчитывалась</v>
          </cell>
          <cell r="AD349">
            <v>4627612</v>
          </cell>
          <cell r="AE349">
            <v>6253.5297297297293</v>
          </cell>
          <cell r="AF349">
            <v>0.83680421314241338</v>
          </cell>
          <cell r="AG349">
            <v>0</v>
          </cell>
          <cell r="AH349">
            <v>0</v>
          </cell>
          <cell r="AI349">
            <v>0</v>
          </cell>
          <cell r="AJ349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9">
            <v>5697935</v>
          </cell>
          <cell r="AM349" t="str">
            <v>По сроку службы</v>
          </cell>
        </row>
        <row r="350">
          <cell r="A350">
            <v>275</v>
          </cell>
          <cell r="B350" t="str">
            <v>Ц00004404</v>
          </cell>
          <cell r="C350" t="str">
            <v>Навозохранилище №4 МТФ№1 Об. 4607,72 куб.м.  (КС)</v>
          </cell>
          <cell r="D350">
            <v>42150</v>
          </cell>
          <cell r="E350">
            <v>42150</v>
          </cell>
          <cell r="F350">
            <v>5752576.5499999998</v>
          </cell>
          <cell r="G350">
            <v>1.0055850701539299</v>
          </cell>
          <cell r="H350">
            <v>5784705.0935976021</v>
          </cell>
          <cell r="I350">
            <v>0.6</v>
          </cell>
          <cell r="J350" t="str">
            <v>бетонное</v>
          </cell>
          <cell r="K350" t="str">
            <v>КС-10</v>
          </cell>
          <cell r="L350">
            <v>40</v>
          </cell>
          <cell r="M350">
            <v>1.4999999999999999E-2</v>
          </cell>
          <cell r="N350">
            <v>0</v>
          </cell>
          <cell r="O350">
            <v>0</v>
          </cell>
          <cell r="P350">
            <v>1.5000000000000013E-2</v>
          </cell>
          <cell r="Q350">
            <v>5530101.2199999997</v>
          </cell>
          <cell r="R350" t="e">
            <v>#DIV/0!</v>
          </cell>
          <cell r="S350" t="str">
            <v>Соответствует</v>
          </cell>
          <cell r="T350">
            <v>5697935</v>
          </cell>
          <cell r="U350" t="e">
            <v>#DIV/0!</v>
          </cell>
          <cell r="V350">
            <v>1.0303491334648665</v>
          </cell>
          <cell r="W350" t="str">
            <v>Соответствует</v>
          </cell>
          <cell r="X350">
            <v>0</v>
          </cell>
          <cell r="Y350">
            <v>0</v>
          </cell>
          <cell r="Z350" t="str">
            <v/>
          </cell>
          <cell r="AA350" t="str">
            <v/>
          </cell>
          <cell r="AB350" t="e">
            <v>#VALUE!</v>
          </cell>
          <cell r="AC350" t="str">
            <v>Не рассчитывалась</v>
          </cell>
          <cell r="AD350">
            <v>7204625</v>
          </cell>
          <cell r="AE350">
            <v>6254.0147569444443</v>
          </cell>
          <cell r="AF350">
            <v>1.30280165106996</v>
          </cell>
          <cell r="AG350">
            <v>0</v>
          </cell>
          <cell r="AH350">
            <v>0</v>
          </cell>
          <cell r="AI350">
            <v>0</v>
          </cell>
          <cell r="AJ350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50">
            <v>5697935</v>
          </cell>
          <cell r="AM350" t="str">
            <v>По сроку службы</v>
          </cell>
        </row>
        <row r="351">
          <cell r="A351">
            <v>281</v>
          </cell>
          <cell r="B351" t="str">
            <v>Р00009593</v>
          </cell>
          <cell r="C351" t="str">
            <v>Навозохранилище(3) МТФ№3 Об 7200 куб.м.   Кад№ 23:11:0702000:850</v>
          </cell>
          <cell r="D351">
            <v>41003</v>
          </cell>
          <cell r="E351">
            <v>41003</v>
          </cell>
          <cell r="F351">
            <v>3708521.83</v>
          </cell>
          <cell r="G351">
            <v>1.1736089030206676</v>
          </cell>
          <cell r="H351">
            <v>4352354.2367344983</v>
          </cell>
          <cell r="I351">
            <v>3.7424657534246575</v>
          </cell>
          <cell r="J351" t="str">
            <v>железо-бетон</v>
          </cell>
          <cell r="K351" t="str">
            <v>КС-10</v>
          </cell>
          <cell r="L351">
            <v>40</v>
          </cell>
          <cell r="M351">
            <v>9.3561643835616437E-2</v>
          </cell>
          <cell r="N351">
            <v>0</v>
          </cell>
          <cell r="O351">
            <v>0</v>
          </cell>
          <cell r="P351">
            <v>9.3561643835616382E-2</v>
          </cell>
          <cell r="Q351">
            <v>2807002.75</v>
          </cell>
          <cell r="R351" t="e">
            <v>#VALUE!</v>
          </cell>
          <cell r="S351" t="str">
            <v>Соответствует</v>
          </cell>
          <cell r="T351">
            <v>3945141</v>
          </cell>
          <cell r="U351" t="e">
            <v>#VALUE!</v>
          </cell>
          <cell r="V351">
            <v>1.4054638884838997</v>
          </cell>
          <cell r="W351" t="str">
            <v>Соответствует</v>
          </cell>
          <cell r="X351">
            <v>0</v>
          </cell>
          <cell r="Y351">
            <v>0</v>
          </cell>
          <cell r="Z351" t="str">
            <v/>
          </cell>
          <cell r="AA351" t="str">
            <v/>
          </cell>
          <cell r="AB351" t="e">
            <v>#VALUE!</v>
          </cell>
          <cell r="AC351" t="str">
            <v>Не рассчитывалась</v>
          </cell>
          <cell r="AD351">
            <v>13053721</v>
          </cell>
          <cell r="AE351">
            <v>7252.067222222222</v>
          </cell>
          <cell r="AF351">
            <v>4.6504126153777374</v>
          </cell>
          <cell r="AG351" t="str">
            <v>7200  куб.м.</v>
          </cell>
          <cell r="AH351">
            <v>0</v>
          </cell>
          <cell r="AI351">
            <v>0</v>
          </cell>
          <cell r="AJ35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1">
            <v>3945141</v>
          </cell>
          <cell r="AM351" t="str">
            <v>По сроку службы</v>
          </cell>
        </row>
        <row r="352">
          <cell r="A352">
            <v>284</v>
          </cell>
          <cell r="B352" t="str">
            <v>Ц00002379</v>
          </cell>
          <cell r="C352" t="str">
            <v>Нежилое здание Об.пл. 1197кв.м. (Силосохранилище №2) Кад№ 23:24:0701000:797 Литер С (НП  МТФ№2)</v>
          </cell>
          <cell r="D352">
            <v>41935</v>
          </cell>
          <cell r="E352">
            <v>41935</v>
          </cell>
          <cell r="F352">
            <v>5203865.12</v>
          </cell>
          <cell r="G352">
            <v>0.98663458968190321</v>
          </cell>
          <cell r="H352">
            <v>5134313.3274311684</v>
          </cell>
          <cell r="I352">
            <v>1.189041095890411</v>
          </cell>
          <cell r="J352" t="str">
            <v>бетонное</v>
          </cell>
          <cell r="K352" t="str">
            <v>КС-10</v>
          </cell>
          <cell r="L352">
            <v>45</v>
          </cell>
          <cell r="M352">
            <v>2.6423135464231355E-2</v>
          </cell>
          <cell r="N352">
            <v>0</v>
          </cell>
          <cell r="O352">
            <v>0</v>
          </cell>
          <cell r="P352">
            <v>2.6423135464231362E-2</v>
          </cell>
          <cell r="Q352">
            <v>4801356.16</v>
          </cell>
          <cell r="R352">
            <v>4011.1580284043443</v>
          </cell>
          <cell r="S352" t="str">
            <v>Соответствует</v>
          </cell>
          <cell r="T352">
            <v>4998649</v>
          </cell>
          <cell r="U352">
            <v>4175.980785296575</v>
          </cell>
          <cell r="V352">
            <v>1.0410910654043211</v>
          </cell>
          <cell r="W352" t="str">
            <v>Соответствует</v>
          </cell>
          <cell r="X352">
            <v>0</v>
          </cell>
          <cell r="Y352">
            <v>0</v>
          </cell>
          <cell r="Z352" t="str">
            <v/>
          </cell>
          <cell r="AA352" t="str">
            <v/>
          </cell>
          <cell r="AB352" t="e">
            <v>#VALUE!</v>
          </cell>
          <cell r="AC352" t="str">
            <v>Не рассчитывалась</v>
          </cell>
          <cell r="AD352">
            <v>38676995</v>
          </cell>
          <cell r="AE352">
            <v>32311.608187134501</v>
          </cell>
          <cell r="AF352">
            <v>8.0554313637920156</v>
          </cell>
          <cell r="AG352">
            <v>1197</v>
          </cell>
          <cell r="AH352">
            <v>0</v>
          </cell>
          <cell r="AI352">
            <v>0</v>
          </cell>
          <cell r="AJ35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2">
            <v>4998649</v>
          </cell>
          <cell r="AM352" t="str">
            <v>По сроку службы</v>
          </cell>
        </row>
        <row r="353">
          <cell r="A353">
            <v>292</v>
          </cell>
          <cell r="B353" t="str">
            <v>Ц00002382</v>
          </cell>
          <cell r="C353" t="str">
            <v>Ограждение, протяженность 391м. Кад№ 23:24:0701000:815 Литер XXXIII (НП  МТФ№2)</v>
          </cell>
          <cell r="D353">
            <v>41935</v>
          </cell>
          <cell r="E353">
            <v>41633</v>
          </cell>
          <cell r="F353">
            <v>2538117.8199999998</v>
          </cell>
          <cell r="G353">
            <v>0.98663458968190321</v>
          </cell>
          <cell r="H353">
            <v>2504194.8339000265</v>
          </cell>
          <cell r="I353">
            <v>2.0164383561643837</v>
          </cell>
          <cell r="J353" t="str">
            <v>железобетон</v>
          </cell>
          <cell r="K353" t="str">
            <v>КС-10</v>
          </cell>
          <cell r="L353">
            <v>30</v>
          </cell>
          <cell r="M353">
            <v>6.7214611872146127E-2</v>
          </cell>
          <cell r="N353">
            <v>0</v>
          </cell>
          <cell r="O353">
            <v>0</v>
          </cell>
          <cell r="P353">
            <v>6.7214611872146168E-2</v>
          </cell>
          <cell r="Q353">
            <v>2390675.2799999998</v>
          </cell>
          <cell r="R353" t="e">
            <v>#VALUE!</v>
          </cell>
          <cell r="S353" t="str">
            <v>Соответствует</v>
          </cell>
          <cell r="T353">
            <v>2335876</v>
          </cell>
          <cell r="U353" t="e">
            <v>#VALUE!</v>
          </cell>
          <cell r="V353">
            <v>0.97707790746052314</v>
          </cell>
          <cell r="W353" t="str">
            <v>Соответствует</v>
          </cell>
          <cell r="X353" t="str">
            <v>отличное</v>
          </cell>
          <cell r="Y353">
            <v>0.1</v>
          </cell>
          <cell r="Z353">
            <v>2253775.350510024</v>
          </cell>
          <cell r="AA353" t="e">
            <v>#VALUE!</v>
          </cell>
          <cell r="AB353">
            <v>0.94273587440533713</v>
          </cell>
          <cell r="AC353" t="str">
            <v>Соответствует</v>
          </cell>
          <cell r="AD353">
            <v>2017978</v>
          </cell>
          <cell r="AE353" t="str">
            <v>Не рассчитывалась</v>
          </cell>
          <cell r="AF353">
            <v>0.84410376301711709</v>
          </cell>
          <cell r="AG353" t="str">
            <v>Протяженность 391 м</v>
          </cell>
          <cell r="AH353">
            <v>0</v>
          </cell>
          <cell r="AI353">
            <v>0</v>
          </cell>
          <cell r="AL353">
            <v>2335876</v>
          </cell>
          <cell r="AM353" t="str">
            <v>По сроку службы</v>
          </cell>
        </row>
        <row r="354">
          <cell r="A354">
            <v>293</v>
          </cell>
          <cell r="B354" t="str">
            <v>Ц00002910</v>
          </cell>
          <cell r="C354" t="str">
            <v>Ограждение, протяженность 563м. Кад№ 23:24:0701000:816 Литер XXXII (НП  МТФ№2)</v>
          </cell>
          <cell r="D354">
            <v>41935</v>
          </cell>
          <cell r="E354">
            <v>41935</v>
          </cell>
          <cell r="F354">
            <v>3654630.02</v>
          </cell>
          <cell r="G354">
            <v>0.98663458968190321</v>
          </cell>
          <cell r="H354">
            <v>3605784.3902218658</v>
          </cell>
          <cell r="I354">
            <v>1.189041095890411</v>
          </cell>
          <cell r="J354" t="str">
            <v>железобетон</v>
          </cell>
          <cell r="K354" t="str">
            <v>КС-10</v>
          </cell>
          <cell r="L354">
            <v>30</v>
          </cell>
          <cell r="M354">
            <v>3.9634703196347029E-2</v>
          </cell>
          <cell r="N354">
            <v>0</v>
          </cell>
          <cell r="O354">
            <v>0</v>
          </cell>
          <cell r="P354">
            <v>3.9634703196346988E-2</v>
          </cell>
          <cell r="Q354">
            <v>3442327.86</v>
          </cell>
          <cell r="R354" t="e">
            <v>#VALUE!</v>
          </cell>
          <cell r="S354" t="str">
            <v>Соответствует</v>
          </cell>
          <cell r="T354">
            <v>3462870</v>
          </cell>
          <cell r="U354" t="e">
            <v>#VALUE!</v>
          </cell>
          <cell r="V354">
            <v>1.0059675140879811</v>
          </cell>
          <cell r="W354" t="str">
            <v>Соответствует</v>
          </cell>
          <cell r="X354" t="str">
            <v>отличное</v>
          </cell>
          <cell r="Y354">
            <v>0.1</v>
          </cell>
          <cell r="Z354">
            <v>3245205.9511996792</v>
          </cell>
          <cell r="AA354" t="e">
            <v>#VALUE!</v>
          </cell>
          <cell r="AB354">
            <v>0.94273587037106898</v>
          </cell>
          <cell r="AC354" t="str">
            <v>Соответствует</v>
          </cell>
          <cell r="AD354">
            <v>2077644</v>
          </cell>
          <cell r="AE354" t="str">
            <v>Не рассчитывалась</v>
          </cell>
          <cell r="AF354">
            <v>0.60355784936766599</v>
          </cell>
          <cell r="AG354" t="str">
            <v>Протяженность 563 м</v>
          </cell>
          <cell r="AH354">
            <v>0</v>
          </cell>
          <cell r="AI354">
            <v>0</v>
          </cell>
          <cell r="AL354">
            <v>3462870</v>
          </cell>
          <cell r="AM354" t="str">
            <v>По сроку службы</v>
          </cell>
        </row>
        <row r="355">
          <cell r="A355">
            <v>302</v>
          </cell>
          <cell r="B355" t="str">
            <v>Р00008629</v>
          </cell>
          <cell r="C355" t="str">
            <v>Площадка для сбора навоза (Навозохранилище(2)) МТФ№3 литер IX Об.10800 куб.м  Кад №23:11:0702000:851</v>
          </cell>
          <cell r="D355">
            <v>40816</v>
          </cell>
          <cell r="E355">
            <v>40816</v>
          </cell>
          <cell r="F355">
            <v>9296610.1699999999</v>
          </cell>
          <cell r="G355">
            <v>1.4002276176024278</v>
          </cell>
          <cell r="H355">
            <v>13017370.3101176</v>
          </cell>
          <cell r="I355">
            <v>4.2547945205479456</v>
          </cell>
          <cell r="J355" t="str">
            <v>железобетон</v>
          </cell>
          <cell r="K355" t="str">
            <v>КС-8</v>
          </cell>
          <cell r="L355">
            <v>20</v>
          </cell>
          <cell r="M355">
            <v>0.21273972602739727</v>
          </cell>
          <cell r="N355">
            <v>0</v>
          </cell>
          <cell r="O355">
            <v>0</v>
          </cell>
          <cell r="P355">
            <v>0.21273972602739732</v>
          </cell>
          <cell r="Q355">
            <v>6677123.1799999997</v>
          </cell>
          <cell r="R355" t="e">
            <v>#VALUE!</v>
          </cell>
          <cell r="S355">
            <v>0</v>
          </cell>
          <cell r="T355">
            <v>10248059</v>
          </cell>
          <cell r="U355" t="e">
            <v>#VALUE!</v>
          </cell>
          <cell r="V355">
            <v>1.5348015490707183</v>
          </cell>
          <cell r="W355" t="str">
            <v>Не соответствует</v>
          </cell>
          <cell r="X355">
            <v>0</v>
          </cell>
          <cell r="Y355">
            <v>0</v>
          </cell>
          <cell r="Z355" t="str">
            <v/>
          </cell>
          <cell r="AA355" t="str">
            <v/>
          </cell>
          <cell r="AB355" t="e">
            <v>#VALUE!</v>
          </cell>
          <cell r="AC355" t="str">
            <v>Не рассчитывалась</v>
          </cell>
          <cell r="AD355">
            <v>6194201</v>
          </cell>
          <cell r="AE355">
            <v>2867.6856481481482</v>
          </cell>
          <cell r="AF355">
            <v>0.92767511292190963</v>
          </cell>
          <cell r="AG355" t="str">
            <v>объем: 10800 куб.м.</v>
          </cell>
          <cell r="AH355">
            <v>0</v>
          </cell>
          <cell r="AI355">
            <v>0</v>
          </cell>
          <cell r="AJ355" t="str">
            <v>Фото не предоставлено. Рачсет по Ко-Инвесту.</v>
          </cell>
          <cell r="AL355">
            <v>6194201</v>
          </cell>
          <cell r="AM355" t="str">
            <v>Ко-Инвест</v>
          </cell>
        </row>
        <row r="356">
          <cell r="A356">
            <v>349</v>
          </cell>
          <cell r="B356" t="str">
            <v>Ц00004421</v>
          </cell>
          <cell r="C356" t="str">
            <v>Силосохранилище №3 МТФ №2 (НП)</v>
          </cell>
          <cell r="D356">
            <v>42122</v>
          </cell>
          <cell r="E356">
            <v>42122</v>
          </cell>
          <cell r="F356">
            <v>5272523.1100000003</v>
          </cell>
          <cell r="G356">
            <v>1.0055850701539299</v>
          </cell>
          <cell r="H356">
            <v>5301970.5214575669</v>
          </cell>
          <cell r="I356">
            <v>0.67671232876712328</v>
          </cell>
          <cell r="J356" t="str">
            <v>Бетон</v>
          </cell>
          <cell r="K356" t="str">
            <v>КС-10</v>
          </cell>
          <cell r="L356">
            <v>45</v>
          </cell>
          <cell r="M356">
            <v>1.5038051750380517E-2</v>
          </cell>
          <cell r="N356">
            <v>0</v>
          </cell>
          <cell r="O356">
            <v>0</v>
          </cell>
          <cell r="P356">
            <v>1.5038051750380532E-2</v>
          </cell>
          <cell r="Q356">
            <v>5039483.4300000006</v>
          </cell>
          <cell r="R356">
            <v>3746.8278289962832</v>
          </cell>
          <cell r="S356">
            <v>0</v>
          </cell>
          <cell r="T356">
            <v>5222239</v>
          </cell>
          <cell r="U356">
            <v>3882.7055762081786</v>
          </cell>
          <cell r="V356">
            <v>1.0362647427139173</v>
          </cell>
          <cell r="W356" t="str">
            <v>Соответствует</v>
          </cell>
          <cell r="X356">
            <v>0</v>
          </cell>
          <cell r="Y356">
            <v>0</v>
          </cell>
          <cell r="Z356" t="str">
            <v/>
          </cell>
          <cell r="AA356" t="str">
            <v/>
          </cell>
          <cell r="AB356" t="e">
            <v>#VALUE!</v>
          </cell>
          <cell r="AC356" t="str">
            <v>Не рассчитывалась</v>
          </cell>
          <cell r="AD356">
            <v>43968487</v>
          </cell>
          <cell r="AE356">
            <v>32690.324907063197</v>
          </cell>
          <cell r="AF356">
            <v>8.7248003909003806</v>
          </cell>
          <cell r="AG356">
            <v>1345</v>
          </cell>
          <cell r="AH356">
            <v>0</v>
          </cell>
          <cell r="AI356">
            <v>0</v>
          </cell>
          <cell r="AJ35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6">
            <v>5222239</v>
          </cell>
          <cell r="AM356" t="str">
            <v>По сроку службы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_Assumptions"/>
      <sheetName val="Inputs_Plots"/>
      <sheetName val="PubParkings"/>
      <sheetName val="Inputs_Costs"/>
      <sheetName val="Inputs_Resi"/>
      <sheetName val="Inputs_Commerce"/>
      <sheetName val="Inputs_Indices"/>
      <sheetName val="Infrastructure_1"/>
      <sheetName val="Infrastructure_2"/>
      <sheetName val="Infrastructure_3"/>
      <sheetName val="Table1_Lots"/>
      <sheetName val="Table2_Phases"/>
      <sheetName val="Table3_LandPlots"/>
      <sheetName val="DCF full"/>
      <sheetName val="Investment Summary"/>
      <sheetName val="Summary_Lots"/>
      <sheetName val="Schedules"/>
      <sheetName val="Summary_CF by lot"/>
      <sheetName val="Summary_CF"/>
      <sheetName val="Summary_CF_Phases"/>
      <sheetName val="Summary_Exit_by lots"/>
      <sheetName val="Summary_Exit_project"/>
      <sheetName val="Summary_Taxes"/>
      <sheetName val="Лот (Lot) 1"/>
      <sheetName val="Лот (Lot) 2"/>
      <sheetName val="Лот (Lot) 3"/>
      <sheetName val="Лот (Lot) 4"/>
      <sheetName val="Лот (Lot) 5"/>
      <sheetName val="Лот (Lot) 6"/>
      <sheetName val="Лот (Lot) 7"/>
      <sheetName val="Лот (Lot) 8"/>
      <sheetName val="Лот (Lot) 9"/>
      <sheetName val="Лот (Lot) 10"/>
      <sheetName val="Лот (Lot) 11"/>
      <sheetName val="Лот (Lot) 12"/>
      <sheetName val="Лот (Lot) 13"/>
      <sheetName val="Лот (Lot) 14"/>
      <sheetName val="Лот (Lot) 15"/>
      <sheetName val="Лот (Lot) 16"/>
      <sheetName val="Лот (Lot) 17"/>
      <sheetName val="Лот (Lot) 18"/>
      <sheetName val="Лот (Lot) 19"/>
      <sheetName val="Лот (Lot) 20"/>
      <sheetName val="Лот (Lot) 21"/>
      <sheetName val="Лот (Lot) 22"/>
      <sheetName val="Лот (Lot) 23"/>
      <sheetName val="Лот (Lot) 24"/>
      <sheetName val="Лот (Lot) 25"/>
      <sheetName val="Лот (Lot) 26"/>
      <sheetName val="Лот (Lot) 27"/>
      <sheetName val="Лот (Lot) 28"/>
      <sheetName val="Лот (Lot) 29"/>
      <sheetName val="Лот (Lot) 30"/>
      <sheetName val="Лот (Lot) 31"/>
      <sheetName val="Лот (Lot) 32"/>
      <sheetName val="Лот (Lot) 33"/>
      <sheetName val="Лот (Lot) 34"/>
      <sheetName val="Лот (Lot) 35"/>
      <sheetName val="Лот (Lot) 36"/>
      <sheetName val="Лот (Lot) 37"/>
      <sheetName val="Лот (Lot) 38"/>
      <sheetName val="Лот (Lot) 39"/>
      <sheetName val="Лот (Lot) 40"/>
      <sheetName val="Лот (Lot) 41"/>
      <sheetName val="Лот (Lot) 42"/>
      <sheetName val="Лот (Lot) 43"/>
      <sheetName val="Лот (Lot) 44"/>
      <sheetName val="Лот (Lot) 45"/>
      <sheetName val="Лот (Lot) 46"/>
      <sheetName val="Лот (Lot) 47"/>
      <sheetName val="Лот (Lot) 48"/>
      <sheetName val="Лот (Lot) 49"/>
      <sheetName val="Лот (Lot) 50"/>
      <sheetName val="Лот (Lot) 51"/>
      <sheetName val="Лот (Lot) 52"/>
      <sheetName val="Лот (Lot) 53"/>
      <sheetName val="Лот (Lot) 54"/>
      <sheetName val="Лот (Lot) 55"/>
      <sheetName val="Лот (Lot) 56"/>
      <sheetName val="Лот (Lot) 57"/>
      <sheetName val="Лот (Lot) 58"/>
      <sheetName val="Лот (Lot) 59"/>
      <sheetName val="Лот (Lot) 60"/>
      <sheetName val="Лот (Lot) 61"/>
      <sheetName val="Лот (Lot) 62"/>
      <sheetName val="Лот (Lot) 63"/>
      <sheetName val="Лот (Lot) 64"/>
      <sheetName val="Лот (Lot) 65"/>
      <sheetName val="Лот (Lot) 66"/>
      <sheetName val="Лот (Lot) 67"/>
      <sheetName val="Лот (Lot) 68"/>
      <sheetName val="Лот (Lot) 69"/>
      <sheetName val="Лот (Lot) 70"/>
    </sheetNames>
    <sheetDataSet>
      <sheetData sheetId="0" refreshError="1"/>
      <sheetData sheetId="1">
        <row r="25">
          <cell r="B25" t="str">
            <v>ТРЦ_ShoppingСenter</v>
          </cell>
          <cell r="C25" t="str">
            <v>Гостиница_Hotel</v>
          </cell>
          <cell r="D25" t="str">
            <v>Офис_Office</v>
          </cell>
          <cell r="E25" t="str">
            <v>Жилье_Residential</v>
          </cell>
          <cell r="F25" t="str">
            <v>Таунхаусы_Townhouses</v>
          </cell>
          <cell r="G25" t="str">
            <v>Инфраструктура_Infrastructure</v>
          </cell>
        </row>
        <row r="26">
          <cell r="B26" t="str">
            <v>Лот (Lot) 1</v>
          </cell>
          <cell r="G26" t="str">
            <v>Затраты Собственника 
Owner's Cost</v>
          </cell>
        </row>
        <row r="226">
          <cell r="D226" t="str">
            <v>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"/>
      <sheetName val="АБ"/>
    </sheetNames>
    <sheetDataSet>
      <sheetData sheetId="0" refreshError="1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дисконт"/>
      <sheetName val="резерв на зам"/>
      <sheetName val="ННЭИ-5 земля_в отчет"/>
      <sheetName val="НИ 5 земля "/>
      <sheetName val="ННЭИ-5 земля (2)"/>
      <sheetName val="НИ 5 земля  (2)"/>
      <sheetName val="ННЭИ 2вар"/>
      <sheetName val="НИ 2вар"/>
      <sheetName val="Ар. ставка-офисы"/>
      <sheetName val="ДП мах вероятн"/>
      <sheetName val="НИ"/>
      <sheetName val="торговля 1"/>
      <sheetName val="торговля 2"/>
      <sheetName val="офисы (2)"/>
      <sheetName val="сравнительный (2)"/>
      <sheetName val="Сведение"/>
      <sheetName val="скидка  "/>
      <sheetName val="Служебный"/>
      <sheetName val="#REF"/>
      <sheetName val="Зем_Opex"/>
      <sheetName val="Project Summary"/>
      <sheetName val="Insurance - Graphs"/>
      <sheetName val="RENT ROLL"/>
      <sheetName val="курс валют"/>
      <sheetName val="MODEL"/>
      <sheetName val="photos"/>
      <sheetName val="#ССЫЛКА"/>
      <sheetName val="Баланс"/>
      <sheetName val="Glossary"/>
      <sheetName val="Резервы"/>
      <sheetName val="Rates"/>
      <sheetName val="Портфели"/>
      <sheetName val="Макро-прогноз"/>
      <sheetName val="резерв_на_зам"/>
      <sheetName val="ННЭИ-5_земля_в_отчет"/>
      <sheetName val="НИ_5_земля_"/>
      <sheetName val="ННЭИ-5_земля_(2)"/>
      <sheetName val="НИ_5_земля__(2)"/>
      <sheetName val="ННЭИ_2вар"/>
      <sheetName val="НИ_2вар"/>
      <sheetName val="Ар__ставка-офисы"/>
      <sheetName val="ДП_мах_вероятн"/>
      <sheetName val="торговля_1"/>
      <sheetName val="торговля_2"/>
      <sheetName val="офисы_(2)"/>
      <sheetName val="сравнительный_(2)"/>
      <sheetName val="скидка__"/>
      <sheetName val="Project_Summary"/>
      <sheetName val="Insurance_-_Graphs"/>
      <sheetName val="RENT_ROLL"/>
      <sheetName val="курс_валют"/>
      <sheetName val="Sheet1"/>
      <sheetName val="Sheet2"/>
      <sheetName val="AP and Accrual Detail-N"/>
      <sheetName val="СВОД"/>
      <sheetName val="0302_TB"/>
      <sheetName val="Assum."/>
      <sheetName val="график строительства"/>
      <sheetName val="аренда_сравнит"/>
      <sheetName val="исх 1"/>
      <sheetName val="1"/>
      <sheetName val="свед"/>
      <sheetName val="общие сведения"/>
      <sheetName val="затр_подх"/>
      <sheetName val="Balance"/>
      <sheetName val="HBS initial"/>
      <sheetName val="Спис_Объекты_недв"/>
      <sheetName val="Balance Sheet"/>
      <sheetName val="2001"/>
      <sheetName val="Метод остатка"/>
      <sheetName val="график01.09.02"/>
      <sheetName val="Resume"/>
      <sheetName val="ОД"/>
      <sheetName val="ПВД"/>
      <sheetName val="2.Продажа квартир"/>
      <sheetName val="Содержание"/>
      <sheetName val="восст"/>
      <sheetName val="общие данные"/>
      <sheetName val="6.Продажа квартир"/>
      <sheetName val="Начало"/>
      <sheetName val="3.ЗАТРАТЫ"/>
      <sheetName val="Док+Исх"/>
      <sheetName val="Контрагенты"/>
      <sheetName val="Параметры ФОТ"/>
      <sheetName val="Дебиторы"/>
      <sheetName val="Inputs"/>
      <sheetName val="ТЭП гостиница"/>
      <sheetName val="Запрос"/>
      <sheetName val="исход"/>
      <sheetName val="Brif_zdanie"/>
      <sheetName val="СП_КОМПЛЕКС"/>
      <sheetName val="4.озеленение"/>
      <sheetName val="Осн_данные"/>
      <sheetName val="Параметры"/>
      <sheetName val="общее"/>
      <sheetName val="Исходные данные"/>
      <sheetName val="НФИк"/>
      <sheetName val="константы"/>
      <sheetName val="Расчет тарифов и выручки"/>
      <sheetName val="исходные"/>
      <sheetName val="13 NGDO"/>
      <sheetName val="Financing"/>
      <sheetName val="Лист3"/>
      <sheetName val="d"/>
      <sheetName val="1.ИСХ "/>
      <sheetName val="Лист2"/>
      <sheetName val="Ко-инвест"/>
      <sheetName val="таблица"/>
      <sheetName val="рабочий"/>
      <sheetName val="ЛитБ"/>
      <sheetName val="СрРасчёт"/>
      <sheetName val="ЗП"/>
      <sheetName val="Исходные данные-I"/>
      <sheetName val=" Assumptions"/>
      <sheetName val="Стоимость УК май-дек 13"/>
      <sheetName val="П03 Себестоимость проекта"/>
      <sheetName val="Расходы на управление"/>
      <sheetName val="Ставка Д"/>
      <sheetName val="Лист1"/>
      <sheetName val="Промка"/>
      <sheetName val="Инд"/>
      <sheetName val="расход"/>
      <sheetName val="Авансы_уплач_деньги в регионах_"/>
      <sheetName val="б"/>
      <sheetName val="PLтв _ Б"/>
      <sheetName val="Коррект"/>
      <sheetName val="Смета"/>
      <sheetName val="1.ИСХ"/>
      <sheetName val="документы Кириши"/>
      <sheetName val="Диспетчер имен"/>
      <sheetName val="2 очередь"/>
      <sheetName val="Общие_данные"/>
      <sheetName val="данные"/>
      <sheetName val="dk"/>
      <sheetName val="Расчет_стоимости"/>
      <sheetName val="Таблица 8"/>
      <sheetName val="общая"/>
      <sheetName val="Пересчет_Скла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OILBAL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торн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GAAP &amp; IAS Group TB &amp; Reports Q"/>
      <sheetName val="BU"/>
      <sheetName val="Master Inputs Start here"/>
      <sheetName val="TOC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Info"/>
      <sheetName val="ИТР_РАБ_2010"/>
      <sheetName val="Классификатор затрат"/>
      <sheetName val="Birim Fiyatlar"/>
      <sheetName val="Kar Oranlari"/>
      <sheetName val="Birim Fiyat Analizi"/>
      <sheetName val="Endirekt Kadro"/>
      <sheetName val="Структура ПП"/>
      <sheetName val="assumptions"/>
      <sheetName val="RUS"/>
      <sheetName val="2 Параметры"/>
      <sheetName val="Продажи реальные и прогноз 20 л"/>
      <sheetName val="HR"/>
      <sheetName val="1"/>
      <sheetName val="С"/>
      <sheetName val="Справочник"/>
      <sheetName val="Cover &amp; Parameters"/>
      <sheetName val="ВН_НДЗ_график"/>
      <sheetName val="пр-во"/>
      <sheetName val="Brew rub"/>
      <sheetName val="АПК(2012)"/>
      <sheetName val="PARAMETRES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коэф_"/>
      <sheetName val="GAAP_&amp;_IAS_Group_TB_&amp;_Reports_Q"/>
      <sheetName val="Cover_&amp;_Parameters"/>
      <sheetName val="Справочник_филиалов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коэф_1"/>
      <sheetName val="GAAP_&amp;_IAS_Group_TB_&amp;_Reports_1"/>
      <sheetName val="Cover_&amp;_Parameters1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 предприятий"/>
      <sheetName val="Справочник статей бюджета"/>
      <sheetName val="Справочники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List"/>
      <sheetName val="Blédina cumul"/>
      <sheetName val="allocat"/>
      <sheetName val="diff03"/>
      <sheetName val="спецпивот"/>
      <sheetName val="Returns"/>
      <sheetName val="Списки"/>
      <sheetName val="Для списков"/>
      <sheetName val="Лист3"/>
      <sheetName val="Исх. данные"/>
      <sheetName val="s"/>
      <sheetName val="Inputs Sheet"/>
      <sheetName val="Проект"/>
      <sheetName val="Компания"/>
      <sheetName val="Опции"/>
      <sheetName val="Анализ"/>
      <sheetName val="Свод"/>
      <sheetName val="LDE"/>
      <sheetName val="In2"/>
      <sheetName val="Дивизион"/>
      <sheetName val="БДДС_month_(ф)"/>
      <sheetName val="БДДС_month_(п)"/>
      <sheetName val="КВ_2008"/>
      <sheetName val="ф_12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татьи пост затрат"/>
      <sheetName val="Статьи-ОД"/>
      <sheetName val="Статьи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Rates"/>
      <sheetName val="Costs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hiddenSheet"/>
      <sheetName val="справочник доп. аналитики"/>
      <sheetName val="корр-ки"/>
      <sheetName val="смета"/>
      <sheetName val="исход. дан."/>
      <sheetName val="PriceSummary"/>
      <sheetName val="статика"/>
      <sheetName val="Продажи_реальные_и_прогноз_20_л"/>
      <sheetName val="Taşeron Endireği"/>
      <sheetName val="Personnel"/>
      <sheetName val="5001"/>
      <sheetName val="5003"/>
      <sheetName val="5002"/>
      <sheetName val="5008"/>
      <sheetName val="5006"/>
      <sheetName val="5007"/>
      <sheetName val="5005"/>
      <sheetName val="5004"/>
      <sheetName val="Лист2"/>
      <sheetName val="_dropDownSheet"/>
      <sheetName val="СтатьиОборотов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Natl Consult Reg."/>
      <sheetName val="10"/>
      <sheetName val="5"/>
      <sheetName val="14"/>
      <sheetName val="UNITSCHD"/>
      <sheetName val="Банки"/>
      <sheetName val="Сценарные условия"/>
      <sheetName val="Содержание"/>
      <sheetName val="BS"/>
      <sheetName val="1240"/>
      <sheetName val="TB"/>
      <sheetName val="Движение РСД"/>
      <sheetName val="Справочник видов затрат "/>
      <sheetName val="Список ЕАХ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Offsets &amp; Other Costs"/>
      <sheetName val="Summary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2013"/>
      <sheetName val="База1"/>
      <sheetName val="Динамика"/>
      <sheetName val="Справочник с 01 02 2017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ANLZ"/>
      <sheetName val="ÖZET"/>
      <sheetName val="Finansal tamamlanma Eğrisi"/>
      <sheetName val="Rate-Code"/>
      <sheetName val="Kabuller"/>
      <sheetName val="Tesisat Ekibi CG"/>
      <sheetName val="рсч"/>
      <sheetName val="БДР УУ"/>
      <sheetName val="Шаблон помесячно"/>
      <sheetName val="Proforma"/>
      <sheetName val="Исх"/>
      <sheetName val="PL план 2017 "/>
      <sheetName val="Мэппинг ДО-Объект"/>
      <sheetName val="Корректировки помесячно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Forecast"/>
      <sheetName val="4. C-F"/>
      <sheetName val="MAPPING"/>
      <sheetName val="16"/>
      <sheetName val="50"/>
      <sheetName val="TESİSAT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#ССЫЛКА"/>
      <sheetName val="Cover _ Parameters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"/>
      <sheetName val="Категории льгот"/>
      <sheetName val="2.1 ФОТ и страховые взносы"/>
      <sheetName val="1.3 ФОТ и страховые взносы"/>
      <sheetName val="Data Validation"/>
      <sheetName val="GLC_ratios_Jun"/>
      <sheetName val="Список"/>
      <sheetName val="Database (RUR)Mar YTD"/>
      <sheetName val="4. NWABC"/>
      <sheetName val="Title"/>
      <sheetName val="Компании группы"/>
      <sheetName val="ПРИЛОЖЕНИЕ 2"/>
      <sheetName val="Откл. по фин. рез"/>
      <sheetName val="сводная"/>
      <sheetName val="TDSheet"/>
      <sheetName val="Поставщики"/>
      <sheetName val="филиала"/>
      <sheetName val="СпрФункции"/>
      <sheetName val="СпрСтЗатрат"/>
      <sheetName val="Именованные списки"/>
      <sheetName val="44 итого"/>
      <sheetName val="Факт"/>
      <sheetName val="План"/>
      <sheetName val="всп"/>
      <sheetName val="Структура 2015"/>
      <sheetName val="Списки техники"/>
      <sheetName val="Для_списков"/>
      <sheetName val="BU_Right_to_Grow"/>
      <sheetName val="IF (10)"/>
      <sheetName val="Ф-расх.часть"/>
      <sheetName val="июль-дек"/>
      <sheetName val="СП_Ед. изм"/>
      <sheetName val="DCF_GA"/>
      <sheetName val="mp"/>
      <sheetName val="GD"/>
      <sheetName val="2.2"/>
      <sheetName val="22"/>
      <sheetName val="3"/>
      <sheetName val="6"/>
      <sheetName val="8"/>
      <sheetName val="9"/>
      <sheetName val=" Цена акции 2002"/>
      <sheetName val="затрат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17.1_свемка IC_Баланс"/>
      <sheetName val="manag_balance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ЦФО"/>
      <sheetName val="Статьи БДР"/>
      <sheetName val="Справочник с 01.01.20"/>
      <sheetName val="Indice Precos Mes"/>
      <sheetName val="ЗСМК (2)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Список группы"/>
      <sheetName val="İNDEX"/>
      <sheetName val="Роли и доли -К"/>
      <sheetName val="Исходный"/>
      <sheetName val="Таблицы 1-5"/>
      <sheetName val="pasiva-skutečnost"/>
      <sheetName val="Global Variables"/>
      <sheetName val="Список ШД"/>
      <sheetName val="Справочник ОЕ"/>
      <sheetName val="Лист8"/>
      <sheetName val="Plan BPC"/>
      <sheetName val="Plan UKT "/>
      <sheetName val="Справ"/>
      <sheetName val="Кедровский"/>
      <sheetName val="Объекты_Подразделения_СтатьиДР"/>
      <sheetName val="KAR10"/>
      <sheetName val="Контакты"/>
      <sheetName val="БДР_УУ"/>
      <sheetName val="кальк. "/>
      <sheetName val="Dados BLP"/>
      <sheetName val="Brazil Sovereign"/>
      <sheetName val="COTAÇÕES"/>
      <sheetName val="BLP"/>
      <sheetName val="bud99"/>
      <sheetName val="Par"/>
      <sheetName val="Reference"/>
      <sheetName val="Ventas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POCE"/>
      <sheetName val="Empresas"/>
      <sheetName val="Participantes"/>
      <sheetName val="brand definitions"/>
      <sheetName val="plant"/>
      <sheetName val="MOL"/>
      <sheetName val="PREMISAS"/>
      <sheetName val="Eviews_Suporte"/>
      <sheetName val="Calc 1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Прямые затраты январь"/>
      <sheetName val="FitOutConfCentre"/>
      <sheetName val="Правила"/>
      <sheetName val="Корректировка на район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расшифровка кодов"/>
      <sheetName val="LE plans"/>
      <sheetName val="Data for lists"/>
      <sheetName val="Data_Validation"/>
      <sheetName val="LE_plans"/>
      <sheetName val="Wages"/>
      <sheetName val="Bridge GM BYN"/>
      <sheetName val="TES픀ԯ_x0000_"/>
      <sheetName val="Scenario Manager"/>
      <sheetName val="SR3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Откл__по_фин__рез"/>
      <sheetName val="09.İscilik Back-萹ă"/>
      <sheetName val="09.İscilik Back-⏬枤"/>
      <sheetName val="TES픀ԯ"/>
      <sheetName val="Cash2"/>
      <sheetName val="Z"/>
      <sheetName val="Bilgi"/>
      <sheetName val="Parametre"/>
      <sheetName val="Inputs"/>
      <sheetName val="OpCo DCF"/>
      <sheetName val="VCo Assumptions"/>
      <sheetName val="CoverPage"/>
      <sheetName val="Combined PL"/>
      <sheetName val="Definitions"/>
      <sheetName val="Haendel"/>
      <sheetName val="1.1"/>
      <sheetName val="Ежемесячный отчет"/>
      <sheetName val="Настройки"/>
      <sheetName val="RSOILBAL"/>
      <sheetName val="Set"/>
      <sheetName val="Настройка"/>
      <sheetName val="путей"/>
      <sheetName val="AFISHA.RU"/>
      <sheetName val="AMEDIA.RU"/>
      <sheetName val="AUTO.RU"/>
      <sheetName val="3DNEWS.RU"/>
      <sheetName val="##"/>
      <sheetName val="ECHO.MSK.RU"/>
      <sheetName val="EXPERT.RU"/>
      <sheetName val="FASHIONTIME.RU"/>
      <sheetName val="GAZETA.RU"/>
      <sheetName val="INOPRESSA.RU"/>
      <sheetName val="KOMMERSANT.RU"/>
      <sheetName val="LIVEINTERNET.RU"/>
      <sheetName val="MAIL.RU"/>
      <sheetName val="MTV.RU"/>
      <sheetName val="NEWSRU.COM"/>
      <sheetName val="24OPEN.RU"/>
      <sheetName val="RIAN.RU"/>
      <sheetName val="SPORTS.RU"/>
      <sheetName val="Ставка"/>
      <sheetName val="Key Data"/>
      <sheetName val="аналитика"/>
      <sheetName val="U-210.1 Выручка "/>
      <sheetName val="Group_Comparative_GAAP5"/>
      <sheetName val="Group_Comparative_IAS5"/>
      <sheetName val="R-U_IAS_History5"/>
      <sheetName val="Cash_Flow_Working5"/>
      <sheetName val="TB_GAAP5"/>
      <sheetName val="TB_IAS5"/>
      <sheetName val="Income_Statement5"/>
      <sheetName val="Balance_Sheet5"/>
      <sheetName val="Cash_Flow5"/>
      <sheetName val="G-I-F_Total5"/>
      <sheetName val="G-I-F_(RU)5"/>
      <sheetName val="G-I-F_(UA)5"/>
      <sheetName val="FLash_IAS5"/>
      <sheetName val="Cash_Flow_support5"/>
      <sheetName val="Income_Statement_Russia_and_Uk5"/>
      <sheetName val="Class_A_Shares_Outstanding5"/>
      <sheetName val="Class_B_Shares_Outstanding5"/>
      <sheetName val="Dilutive_Shares_Outstanding5"/>
      <sheetName val="EPS_Working5"/>
      <sheetName val="Share_Price_20025"/>
      <sheetName val="RE_Working5"/>
      <sheetName val="Change_of_Equity5"/>
      <sheetName val="Cover___Parameters1"/>
      <sheetName val="БДДС_month_(ф)3"/>
      <sheetName val="БДДС_month_(п)3"/>
      <sheetName val="GAAP_&amp;_IAS_Group_TB_&amp;_Reports_5"/>
      <sheetName val="КВ_20083"/>
      <sheetName val="ф_123"/>
      <sheetName val="коэф_5"/>
      <sheetName val="Cover_&amp;_Parameters5"/>
      <sheetName val="2_Параметры3"/>
      <sheetName val="Справочник_предприятий3"/>
      <sheetName val="Справочник_статей_бюджета3"/>
      <sheetName val="Проверочная_вкладка3"/>
      <sheetName val="Проверочная_вкладка_для_PL3"/>
      <sheetName val="Blédina_cumul3"/>
      <sheetName val="Сценарные_условия3"/>
      <sheetName val="Ав_(закупка,_услуги)"/>
      <sheetName val="БДДС_год"/>
      <sheetName val="13,40_Авансы_получ"/>
      <sheetName val="Произв_пок_раст_3_"/>
      <sheetName val="Сдача_произведен__прод_"/>
      <sheetName val="Tesisat_Ekibi_CG"/>
      <sheetName val="Finansal_tamamlanma_Eğrisi"/>
      <sheetName val="Offsets_&amp;_Other_Costs"/>
      <sheetName val="Adam-Saat_Hesabi"/>
      <sheetName val="Concrete_Sheet"/>
      <sheetName val="таблица_по_договорам2"/>
      <sheetName val="Именованные_списки"/>
      <sheetName val="44_итого"/>
      <sheetName val="Структура_2015"/>
      <sheetName val="Списки_техники"/>
      <sheetName val="_Цена_акции_2002"/>
      <sheetName val="Link"/>
      <sheetName val="выручка по клиентам и ДЗ"/>
      <sheetName val="PL 2020"/>
      <sheetName val="исх 2018-2019"/>
      <sheetName val="Отчёт по Пм 20"/>
      <sheetName val="для бюджет предопта"/>
      <sheetName val="затраты факт 9 мес предопт"/>
      <sheetName val="затраты УК"/>
      <sheetName val="Инстукция по заполнению"/>
      <sheetName val="Лист1 (3)"/>
      <sheetName val="0 версия"/>
      <sheetName val="ПФ-март"/>
      <sheetName val="Общие"/>
      <sheetName val="0"/>
      <sheetName val="Кр.прод.-Приб."/>
      <sheetName val="Кр.порт"/>
      <sheetName val="Упр-рын."/>
      <sheetName val="Недв-Инв"/>
      <sheetName val="Деб-Кред"/>
      <sheetName val="АГРЕГприб"/>
      <sheetName val="АГРЕГбал"/>
      <sheetName val="Обор-Реал"/>
      <sheetName val="Курсы пересчета"/>
      <sheetName val="Протокол расчета"/>
      <sheetName val="Исключения"/>
      <sheetName val="91 счет - P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 1 оч."/>
      <sheetName val="График затрат 2 оч."/>
      <sheetName val="План продаж"/>
      <sheetName val="Модель продаж"/>
      <sheetName val="ПДР"/>
      <sheetName val="ПДДС"/>
      <sheetName val="Показатели"/>
      <sheetName val="IRRотеч"/>
      <sheetName val="IRRиностр"/>
      <sheetName val="График_затрат_1_оч_"/>
      <sheetName val="График_затрат_2_оч_"/>
      <sheetName val="План_продаж"/>
      <sheetName val="Модель_продаж"/>
      <sheetName val="График_затрат_1_оч_1"/>
      <sheetName val="График_затрат_2_оч_1"/>
      <sheetName val="План_продаж1"/>
      <sheetName val="Модель_продаж1"/>
      <sheetName val="График_затрат_1_оч_2"/>
      <sheetName val="График_затрат_2_оч_2"/>
      <sheetName val="План_продаж2"/>
      <sheetName val="Модель_продаж2"/>
      <sheetName val="График_затрат_1_оч_3"/>
      <sheetName val="График_затрат_2_оч_3"/>
      <sheetName val="План_продаж3"/>
      <sheetName val="Модель_продаж3"/>
      <sheetName val="Лист4"/>
      <sheetName val="Сводная ЛССМУ"/>
      <sheetName val="Черновик"/>
      <sheetName val="pricesummary"/>
      <sheetName val="квартирограмма"/>
      <sheetName val="гр+"/>
      <sheetName val="ВводД"/>
      <sheetName val="Сводный-затраты"/>
      <sheetName val="summary"/>
      <sheetName val="Лист1-ЛССМУ"/>
      <sheetName val="HUD YOLU DUVAR 8 MT"/>
      <sheetName val="finansal tamamlanma eğrisi"/>
      <sheetName val="TABLO-3"/>
      <sheetName val="ELEC F031-3(ANLZ)"/>
      <sheetName val="lob"/>
      <sheetName val="свод"/>
      <sheetName val="каскад,5"/>
      <sheetName val="бог"/>
      <sheetName val="мфтц,к.4"/>
      <sheetName val="POW"/>
      <sheetName val="cur_projects pl"/>
      <sheetName val="Таблица"/>
      <sheetName val="Breakdown CAPEX (PBC)"/>
      <sheetName val="Narratives-Subsidiarie"/>
      <sheetName val="inputs"/>
      <sheetName val="График_затрат_1_оч_4"/>
      <sheetName val="График_затрат_2_оч_4"/>
      <sheetName val="План_продаж4"/>
      <sheetName val="Модель_продаж4"/>
      <sheetName val="Сводная_ЛССМУ"/>
      <sheetName val="мфтц,к_4"/>
      <sheetName val="HUD_YOLU_DUVAR_8_MT"/>
      <sheetName val="finansal_tamamlanma_eğrisi"/>
      <sheetName val="ELEC_F031-3(ANLZ)"/>
      <sheetName val="cur_projects_pl"/>
      <sheetName val="Breakdown_CAPEX_(PBC)"/>
      <sheetName val="баланс95"/>
      <sheetName val="ИД"/>
      <sheetName val="은행"/>
      <sheetName val="Отчет о реализации площадей"/>
      <sheetName val="input data"/>
      <sheetName val="comps"/>
      <sheetName val="Scenar"/>
      <sheetName val="C.1.D.1.РСП"/>
      <sheetName val="№1_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1.1 Inputs"/>
      <sheetName val="2.1 СF_КП_базовая"/>
      <sheetName val="Master Inputs Start Here"/>
      <sheetName val="sheet1"/>
      <sheetName val="TEPs"/>
      <sheetName val="кедровский"/>
      <sheetName val="Стоимости"/>
      <sheetName val="График_затрат_1_оч_5"/>
      <sheetName val="График_затрат_2_оч_5"/>
      <sheetName val="План_продаж5"/>
      <sheetName val="Модель_продаж5"/>
      <sheetName val="Сводная_ЛССМУ1"/>
      <sheetName val="мфтц,к_41"/>
      <sheetName val="cur_projects_pl1"/>
      <sheetName val="HUD_YOLU_DUVAR_8_MT1"/>
      <sheetName val="finansal_tamamlanma_eğrisi1"/>
      <sheetName val="ELEC_F031-3(ANLZ)1"/>
      <sheetName val="Breakdown_CAPEX_(PBC)1"/>
      <sheetName val="Отчет_о_реализации_площадей"/>
      <sheetName val="1 секц полы старая"/>
      <sheetName val="1 секц полы консъерж"/>
      <sheetName val="1 секц отд консъерж"/>
      <sheetName val="2 секц полы старые"/>
      <sheetName val="гараж 4.4 техпом"/>
      <sheetName val="3 секц отд лестниц"/>
      <sheetName val="1 секц лестницы в гараж"/>
      <sheetName val="2 секц лестницы в гараже"/>
      <sheetName val="1 секц отд"/>
      <sheetName val="цоколь 4.1"/>
      <sheetName val="откосы доп"/>
      <sheetName val="объемы 2 сек"/>
      <sheetName val="гараж 4.4 отделка"/>
      <sheetName val="1.Список"/>
      <sheetName val="справочники"/>
      <sheetName val="КУРС"/>
      <sheetName val="Векселя"/>
      <sheetName val="Карта"/>
      <sheetName val="Касса"/>
      <sheetName val="Р_счет"/>
      <sheetName val="График_затрат_1_оч_6"/>
      <sheetName val="График_затрат_2_оч_6"/>
      <sheetName val="План_продаж6"/>
      <sheetName val="Модель_продаж6"/>
      <sheetName val="Сводная_ЛССМУ2"/>
      <sheetName val="мфтц,к_42"/>
      <sheetName val="HUD_YOLU_DUVAR_8_MT2"/>
      <sheetName val="finansal_tamamlanma_eğrisi2"/>
      <sheetName val="ELEC_F031-3(ANLZ)2"/>
      <sheetName val="cur_projects_pl2"/>
      <sheetName val="Breakdown_CAPEX_(PBC)2"/>
      <sheetName val="Отчет_о_реализации_площадей1"/>
      <sheetName val="C_1_D_1_РСП"/>
      <sheetName val="№1_Отчет_о_реализации_площадей"/>
      <sheetName val="oil_"/>
      <sheetName val="mobile_"/>
      <sheetName val="energy_"/>
      <sheetName val="metal_"/>
      <sheetName val="telecom_"/>
      <sheetName val="input_data"/>
      <sheetName val="1_1_Inputs"/>
      <sheetName val="2_1_СF_КП_базовая"/>
      <sheetName val="Master_Inputs_Start_Here"/>
      <sheetName val="сводная"/>
      <sheetName val="лссму"/>
      <sheetName val="Сроки"/>
      <sheetName val="Имя"/>
      <sheetName val="fitoutconfcentre"/>
      <sheetName val="cus_HK1033"/>
      <sheetName val="Лист1"/>
      <sheetName val="budget  material"/>
      <sheetName val="Sheet2"/>
      <sheetName val="AÇIKLAMALAR"/>
      <sheetName val="KABLO A.T.K."/>
      <sheetName val="ŞALTERLER"/>
      <sheetName val="Sum"/>
      <sheetName val="График_затрат_1_оч_7"/>
      <sheetName val="График_затрат_2_оч_7"/>
      <sheetName val="План_продаж7"/>
      <sheetName val="Модель_продаж7"/>
      <sheetName val="Сводная_ЛССМУ3"/>
      <sheetName val="beton maliyet analizi"/>
      <sheetName val="RATES"/>
    </sheetNames>
    <sheetDataSet>
      <sheetData sheetId="0" refreshError="1">
        <row r="17">
          <cell r="B17">
            <v>0.18</v>
          </cell>
        </row>
        <row r="18">
          <cell r="B18">
            <v>0.18</v>
          </cell>
        </row>
        <row r="21">
          <cell r="B21">
            <v>0.12</v>
          </cell>
        </row>
        <row r="22">
          <cell r="B2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 refreshError="1"/>
      <sheetData sheetId="16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"/>
      <sheetName val="В отчет - прочее"/>
      <sheetName val="В отчет - общие части"/>
      <sheetName val="Сценарии"/>
      <sheetName val="Вопросы"/>
      <sheetName val="Fixed_Assets"/>
      <sheetName val="Оборачиваемость"/>
      <sheetName val="Выручка_себестоимость сценарии"/>
      <sheetName val="DCF_v-1"/>
      <sheetName val="Прогноз прочих доходов"/>
      <sheetName val="Прогноз прочих расходов"/>
      <sheetName val="WACC"/>
      <sheetName val="Прогноз g"/>
      <sheetName val="Прогнозы&gt;&gt;&gt;"/>
      <sheetName val="Прогноз СС"/>
      <sheetName val="Прогноз изменения цен"/>
      <sheetName val="Урожайность - ЕМИСС"/>
      <sheetName val="Цена - ЕМИСС"/>
      <sheetName val="Степь&gt;&gt;&gt;"/>
      <sheetName val="Аналитика по Степи"/>
      <sheetName val="Структура площадей"/>
      <sheetName val="БДР"/>
      <sheetName val="Выручка"/>
      <sheetName val="Себестоимость"/>
      <sheetName val="в т.ч. налоги"/>
      <sheetName val="Коммерческие расходы"/>
      <sheetName val="Прочие доходы"/>
      <sheetName val="Прочие расходы"/>
      <sheetName val="Бюджет 2016"/>
      <sheetName val="WACC&gt;&gt;&gt;"/>
      <sheetName val="Амортизация"/>
      <sheetName val="Market_premium_data"/>
      <sheetName val="Beta US"/>
      <sheetName val="Size premium"/>
      <sheetName val="Спец р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4063">
          <cell r="D4063">
            <v>193556000</v>
          </cell>
        </row>
      </sheetData>
      <sheetData sheetId="7">
        <row r="160">
          <cell r="A160" t="str">
            <v>Доля реализации в объеме в валовом сборе</v>
          </cell>
        </row>
      </sheetData>
      <sheetData sheetId="8">
        <row r="169">
          <cell r="H169">
            <v>0.2097791195459994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"/>
      <sheetName val="02.04"/>
      <sheetName val="03.04"/>
      <sheetName val="04.04"/>
      <sheetName val="07.04"/>
      <sheetName val="08.04"/>
      <sheetName val="09.04"/>
      <sheetName val="10.04"/>
      <sheetName val="11.04"/>
      <sheetName val="14.04"/>
      <sheetName val="15.04"/>
      <sheetName val="16.04"/>
      <sheetName val="17.04"/>
      <sheetName val="18.04"/>
      <sheetName val="21.04"/>
      <sheetName val="22.04"/>
      <sheetName val="23.04"/>
      <sheetName val="24.04"/>
      <sheetName val="25.04"/>
      <sheetName val="28.04"/>
      <sheetName val="29.04"/>
      <sheetName val="30.04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6">
          <cell r="L6" t="str">
            <v>Сводный график по Мосмева</v>
          </cell>
        </row>
        <row r="108">
          <cell r="B108" t="str">
            <v>Лизинг</v>
          </cell>
        </row>
        <row r="137">
          <cell r="B137" t="str">
            <v>Кредит в Балтонэксиме</v>
          </cell>
        </row>
        <row r="184">
          <cell r="B184" t="str">
            <v>Лизинг телеком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каскад,5"/>
      <sheetName val="бог"/>
      <sheetName val="мфтц,к.4"/>
      <sheetName val="Расчёт 2005"/>
      <sheetName val="ТЭО Гражданка Сити10млн"/>
      <sheetName val="cur_projects pl"/>
      <sheetName val="спр (2)"/>
      <sheetName val="Лист1-ЛССМУ"/>
      <sheetName val="гр+"/>
      <sheetName val="ВводД"/>
      <sheetName val="POW"/>
      <sheetName val="график_затрат"/>
      <sheetName val="План_продаж"/>
      <sheetName val="мфтц,к_4"/>
      <sheetName val="Оплата_по_графикам"/>
      <sheetName val="Расчёт_2005"/>
      <sheetName val="ТЭО_Гражданка_Сити10млн"/>
      <sheetName val="cur_projects_pl"/>
      <sheetName val="спр_(2)"/>
      <sheetName val="Черновик"/>
      <sheetName val="_Ф2"/>
      <sheetName val="Отчет о реализации площадей"/>
      <sheetName val="input data"/>
      <sheetName val="other software vcr"/>
      <sheetName val="сводная лссму"/>
      <sheetName val="cost-tz"/>
      <sheetName val="Сводный лист"/>
      <sheetName val="график_затрат1"/>
      <sheetName val="План_продаж1"/>
      <sheetName val="Оплата_по_графикам1"/>
      <sheetName val="мфтц,к_41"/>
      <sheetName val="Расчёт_20051"/>
      <sheetName val="ТЭО_Гражданка_Сити10млн1"/>
      <sheetName val="спр_(2)1"/>
      <sheetName val="cur_projects_pl1"/>
      <sheetName val="Narratives-Subsidiarie"/>
      <sheetName val="inputs"/>
      <sheetName val="РС котлован"/>
      <sheetName val="Данные по проекту"/>
      <sheetName val="Лист5"/>
      <sheetName val="Справочник Статей затрат"/>
      <sheetName val="график_затрат2"/>
      <sheetName val="План_продаж2"/>
      <sheetName val="Оплата_по_графикам2"/>
      <sheetName val="мфтц,к_42"/>
      <sheetName val="ТЭО_Гражданка_Сити10млн2"/>
      <sheetName val="Расчёт_20052"/>
      <sheetName val="спр_(2)2"/>
      <sheetName val="cur_projects_pl2"/>
      <sheetName val="input_data"/>
      <sheetName val="other_software_vcr"/>
      <sheetName val="сводная_лссму"/>
      <sheetName val="Сводный_лист"/>
      <sheetName val="Отчет_о_реализации_площадей"/>
      <sheetName val="смета_юшина"/>
      <sheetName val="кедровский"/>
      <sheetName val="Стоимости"/>
      <sheetName val="B03"/>
      <sheetName val="Breakdown CAPEX (PBC)"/>
      <sheetName val="Scenar"/>
      <sheetName val="sheet1"/>
      <sheetName val="lob"/>
      <sheetName val="AOP Summary-2"/>
      <sheetName val="ANA PIVOT"/>
      <sheetName val="Parite"/>
      <sheetName val="RC-BALTIKA Butce Formu"/>
      <sheetName val="график_затрат3"/>
      <sheetName val="План_продаж3"/>
      <sheetName val="Оплата_по_графикам3"/>
      <sheetName val="мфтц,к_43"/>
      <sheetName val="tesİsat"/>
      <sheetName val="mech. summary"/>
      <sheetName val="Calculation"/>
      <sheetName val="DATA"/>
    </sheetNames>
    <sheetDataSet>
      <sheetData sheetId="0" refreshError="1">
        <row r="24">
          <cell r="B24">
            <v>10000000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  <sheetData sheetId="82"/>
      <sheetData sheetId="83"/>
      <sheetData sheetId="8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Лист1-ЛССМУ"/>
      <sheetName val="оплата по графикам"/>
      <sheetName val="смета_юшина"/>
      <sheetName val="лист4"/>
      <sheetName val="Сводный-затраты"/>
      <sheetName val="cur_projects pl"/>
      <sheetName val="Справочник ЦФО"/>
      <sheetName val="каскад,5"/>
      <sheetName val="бог"/>
      <sheetName val="мфтц,к.4"/>
      <sheetName val="Сводная ЛССМУ"/>
      <sheetName val="№1_отчет о реализации площадей"/>
      <sheetName val="График_затрат"/>
      <sheetName val="План_продаж"/>
      <sheetName val="оплата_по_графикам"/>
      <sheetName val="cur_projects_pl"/>
      <sheetName val="Справочник_ЦФО"/>
      <sheetName val="мфтц,к_4"/>
      <sheetName val="Сводная_ЛССМУ"/>
      <sheetName val="№1_отчет_о_реализации_площадей"/>
      <sheetName val="нормативы"/>
      <sheetName val="assump"/>
      <sheetName val="Расчёт 2005"/>
      <sheetName val="Черновик"/>
      <sheetName val="Затраты"/>
      <sheetName val="Стоимости"/>
      <sheetName val="AOP Summary-2"/>
      <sheetName val="Summary"/>
      <sheetName val="График_затрат1"/>
      <sheetName val="План_продаж1"/>
      <sheetName val="оплата_по_графикам1"/>
      <sheetName val="Справочник_ЦФО1"/>
      <sheetName val="мфтц,к_41"/>
      <sheetName val="cur_projects_pl1"/>
      <sheetName val="Сводная_ЛССМУ1"/>
      <sheetName val="№1_отчет_о_реализации_площадей1"/>
      <sheetName val="График_затрат2"/>
      <sheetName val="План_продаж2"/>
      <sheetName val="оплата_по_графикам2"/>
      <sheetName val="мфтц,к_42"/>
      <sheetName val="Справочник_ЦФО2"/>
      <sheetName val="cur_projects_pl2"/>
      <sheetName val="Сводная_ЛССМУ2"/>
      <sheetName val="№1_отчет_о_реализации_площадей2"/>
      <sheetName val="Расчёт_2005"/>
      <sheetName val="AOP_Summary-2"/>
      <sheetName val="fitoutconfcentre"/>
      <sheetName val="10"/>
      <sheetName val="5"/>
      <sheetName val="14"/>
      <sheetName val="Tender Summary"/>
      <sheetName val="#ref"/>
      <sheetName val="data"/>
      <sheetName val="Mayis 06 Ambar Raporu"/>
      <sheetName val="05 06 Maliyet"/>
      <sheetName val="График_затрат3"/>
      <sheetName val="План_продаж3"/>
      <sheetName val="оплата_по_графикам3"/>
      <sheetName val="inputs"/>
      <sheetName val="electric mechanic"/>
      <sheetName val="comps"/>
      <sheetName val="Indirect-Sum"/>
      <sheetName val="b25 (m350) beton maliyet analiz"/>
      <sheetName val="Data Sheet"/>
      <sheetName val="Direct Budget"/>
      <sheetName val="summary_endirek"/>
      <sheetName val="Новая презентация"/>
      <sheetName val="betonarme"/>
      <sheetName val="mech-4"/>
    </sheetNames>
    <sheetDataSet>
      <sheetData sheetId="0" refreshError="1">
        <row r="22">
          <cell r="B22">
            <v>0.05</v>
          </cell>
        </row>
        <row r="24">
          <cell r="B24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данные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Предпр.-взвеш. оценка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фундам Н.4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нос"/>
      <sheetName val="Описание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etalon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0468-2772-458D-B763-A2251804319E}">
  <dimension ref="A1:L30"/>
  <sheetViews>
    <sheetView showGridLines="0" topLeftCell="A4" zoomScaleNormal="100" workbookViewId="0">
      <selection activeCell="C25" sqref="C25"/>
    </sheetView>
  </sheetViews>
  <sheetFormatPr defaultColWidth="0" defaultRowHeight="15" zeroHeight="1" x14ac:dyDescent="0.25"/>
  <cols>
    <col min="1" max="1" width="9.140625" customWidth="1"/>
    <col min="2" max="2" width="78.140625" bestFit="1" customWidth="1"/>
    <col min="3" max="12" width="9.140625" customWidth="1"/>
    <col min="13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ht="18" x14ac:dyDescent="0.25">
      <c r="H5" s="54" t="s">
        <v>258</v>
      </c>
    </row>
    <row r="6" spans="2:8" ht="15.75" x14ac:dyDescent="0.25">
      <c r="H6" s="55" t="s">
        <v>259</v>
      </c>
    </row>
    <row r="7" spans="2:8" x14ac:dyDescent="0.25"/>
    <row r="8" spans="2:8" x14ac:dyDescent="0.25"/>
    <row r="9" spans="2:8" x14ac:dyDescent="0.25"/>
    <row r="10" spans="2:8" x14ac:dyDescent="0.25"/>
    <row r="11" spans="2:8" ht="30" x14ac:dyDescent="0.4">
      <c r="B11" s="56" t="s">
        <v>260</v>
      </c>
      <c r="C11" s="41"/>
      <c r="D11" s="41"/>
      <c r="E11" s="41"/>
      <c r="F11" s="41"/>
      <c r="G11" s="41"/>
      <c r="H11" s="41"/>
    </row>
    <row r="12" spans="2:8" ht="20.25" x14ac:dyDescent="0.25">
      <c r="B12" s="57" t="s">
        <v>261</v>
      </c>
      <c r="C12" s="41"/>
      <c r="D12" s="41"/>
      <c r="F12" s="41"/>
      <c r="G12" s="41"/>
    </row>
    <row r="13" spans="2:8" ht="23.25" x14ac:dyDescent="0.35">
      <c r="B13" s="61" t="s">
        <v>0</v>
      </c>
      <c r="C13" s="58" t="s">
        <v>262</v>
      </c>
      <c r="E13" s="58"/>
      <c r="F13" s="41"/>
    </row>
    <row r="14" spans="2:8" x14ac:dyDescent="0.25">
      <c r="C14" s="41"/>
    </row>
    <row r="15" spans="2:8" ht="23.25" x14ac:dyDescent="0.35">
      <c r="B15" s="61" t="s">
        <v>263</v>
      </c>
      <c r="C15" s="41"/>
    </row>
    <row r="16" spans="2:8" ht="18" x14ac:dyDescent="0.25">
      <c r="B16" s="59" t="s">
        <v>264</v>
      </c>
      <c r="C16" s="60" t="s">
        <v>262</v>
      </c>
    </row>
    <row r="17" spans="2:8" ht="18" x14ac:dyDescent="0.25">
      <c r="B17" s="59" t="s">
        <v>271</v>
      </c>
      <c r="C17" s="60" t="s">
        <v>262</v>
      </c>
      <c r="F17" s="41"/>
      <c r="H17" s="41"/>
    </row>
    <row r="18" spans="2:8" ht="18" x14ac:dyDescent="0.25">
      <c r="B18" s="59" t="s">
        <v>95</v>
      </c>
      <c r="C18" s="60" t="s">
        <v>262</v>
      </c>
      <c r="F18" s="41"/>
      <c r="H18" s="41"/>
    </row>
    <row r="19" spans="2:8" ht="18" x14ac:dyDescent="0.25">
      <c r="B19" s="59" t="s">
        <v>265</v>
      </c>
      <c r="C19" s="60" t="s">
        <v>262</v>
      </c>
      <c r="D19" s="60"/>
      <c r="F19" s="41"/>
      <c r="H19" s="41"/>
    </row>
    <row r="20" spans="2:8" ht="18" x14ac:dyDescent="0.25">
      <c r="B20" s="59" t="s">
        <v>266</v>
      </c>
      <c r="C20" s="60" t="s">
        <v>262</v>
      </c>
      <c r="F20" s="41"/>
      <c r="H20" s="41"/>
    </row>
    <row r="21" spans="2:8" x14ac:dyDescent="0.25"/>
    <row r="22" spans="2:8" ht="23.25" x14ac:dyDescent="0.35">
      <c r="B22" s="61" t="s">
        <v>267</v>
      </c>
    </row>
    <row r="23" spans="2:8" ht="18" x14ac:dyDescent="0.25">
      <c r="B23" s="59" t="s">
        <v>268</v>
      </c>
      <c r="C23" s="60" t="s">
        <v>262</v>
      </c>
    </row>
    <row r="24" spans="2:8" ht="18" x14ac:dyDescent="0.25">
      <c r="B24" s="59" t="s">
        <v>269</v>
      </c>
      <c r="C24" s="60" t="s">
        <v>262</v>
      </c>
    </row>
    <row r="25" spans="2:8" ht="18" x14ac:dyDescent="0.25">
      <c r="B25" s="59" t="s">
        <v>270</v>
      </c>
      <c r="C25" s="60" t="s">
        <v>262</v>
      </c>
    </row>
    <row r="26" spans="2:8" ht="18" x14ac:dyDescent="0.25">
      <c r="H26" s="60"/>
    </row>
    <row r="27" spans="2:8" x14ac:dyDescent="0.25"/>
    <row r="28" spans="2:8" x14ac:dyDescent="0.25"/>
    <row r="29" spans="2:8" x14ac:dyDescent="0.25"/>
    <row r="30" spans="2:8" x14ac:dyDescent="0.25"/>
  </sheetData>
  <hyperlinks>
    <hyperlink ref="H6" r:id="rId1" xr:uid="{57C94E8A-03F1-4585-82FB-F47F9830677E}"/>
    <hyperlink ref="C16" location="'Operating Results'!A2" tooltip="wffee" display="&gt;&gt;" xr:uid="{3B585DCE-E6F0-4D6C-8968-48FA9A6D7EBD}"/>
    <hyperlink ref="C17" location="'Operating Results'!A46" tooltip="wffee" display="&gt;&gt;" xr:uid="{835EE55F-AD7E-473C-9378-5737336DE5FD}"/>
    <hyperlink ref="C18" location="'Assets valuation 2023'!A1" tooltip="wffee" display="&gt;&gt;" xr:uid="{F4995EFF-802A-4FAE-9EC7-58E9BAA6C6CE}"/>
    <hyperlink ref="C20" location="PL!A83" tooltip="wffee" display="&gt;&gt;" xr:uid="{62FD9178-B516-43E6-AEAF-467C0A1EB7B5}"/>
    <hyperlink ref="C23" location="BS!A2" tooltip="wffee" display="&gt;&gt;" xr:uid="{BD7DB65C-166A-498D-B077-5D36F2DF03D9}"/>
    <hyperlink ref="C24" location="PL!A2" tooltip="wffee" display="&gt;&gt;" xr:uid="{C7CF6286-43BF-4447-B310-5F05B2C367B3}"/>
    <hyperlink ref="C25" location="CF!A2" tooltip="wffee" display="&gt;&gt;" xr:uid="{835BAC53-06CC-441C-B94C-0D2799090942}"/>
    <hyperlink ref="C19" location="'Land Bank'!A130" tooltip="wffee" display="&gt;&gt;" xr:uid="{4D33F9BC-3121-4B4B-A73D-93FEAB04B178}"/>
    <hyperlink ref="C13" location="Overview!A2" tooltip="wffee" display="&gt;&gt;" xr:uid="{A7F47DA2-FE6F-41CB-9FC6-CAED0BFDB594}"/>
  </hyperlinks>
  <pageMargins left="1.4895833333333333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169-1809-4894-A8F8-3BD32A977B5E}">
  <dimension ref="A1:Q52"/>
  <sheetViews>
    <sheetView showGridLines="0" tabSelected="1" topLeftCell="A40" zoomScaleNormal="100" workbookViewId="0">
      <pane xSplit="1" topLeftCell="K1" activePane="topRight" state="frozen"/>
      <selection pane="topRight" activeCell="Q46" sqref="Q46"/>
    </sheetView>
  </sheetViews>
  <sheetFormatPr defaultColWidth="9.140625" defaultRowHeight="14.25" x14ac:dyDescent="0.2"/>
  <cols>
    <col min="1" max="1" width="51.7109375" style="41" bestFit="1" customWidth="1"/>
    <col min="2" max="15" width="9.140625" style="6"/>
    <col min="16" max="16384" width="9.140625" style="41"/>
  </cols>
  <sheetData>
    <row r="1" spans="1:17" x14ac:dyDescent="0.2">
      <c r="A1" s="6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ht="18" x14ac:dyDescent="0.25">
      <c r="A2" s="1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7" x14ac:dyDescent="0.2">
      <c r="A3" s="2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7" x14ac:dyDescent="0.2">
      <c r="A4" s="6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7" x14ac:dyDescent="0.2">
      <c r="A5" s="3"/>
      <c r="B5" s="106" t="s">
        <v>2</v>
      </c>
      <c r="C5" s="4">
        <v>2011</v>
      </c>
      <c r="D5" s="4">
        <v>2012</v>
      </c>
      <c r="E5" s="4">
        <v>2013</v>
      </c>
      <c r="F5" s="4">
        <v>2014</v>
      </c>
      <c r="G5" s="4">
        <v>2015</v>
      </c>
      <c r="H5" s="4">
        <v>2016</v>
      </c>
      <c r="I5" s="4">
        <v>2017</v>
      </c>
      <c r="J5" s="4">
        <v>2018</v>
      </c>
      <c r="K5" s="4">
        <v>2019</v>
      </c>
      <c r="L5" s="4">
        <v>2020</v>
      </c>
      <c r="M5" s="4">
        <v>2021</v>
      </c>
      <c r="N5" s="4">
        <v>2022</v>
      </c>
      <c r="O5" s="4">
        <v>2023</v>
      </c>
      <c r="P5" s="4">
        <v>2024</v>
      </c>
      <c r="Q5" s="4">
        <v>2025</v>
      </c>
    </row>
    <row r="6" spans="1:17" x14ac:dyDescent="0.2">
      <c r="A6" s="5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P6" s="6"/>
      <c r="Q6" s="6"/>
    </row>
    <row r="7" spans="1:17" x14ac:dyDescent="0.2">
      <c r="A7" s="6" t="s">
        <v>4</v>
      </c>
      <c r="B7" s="7" t="s">
        <v>5</v>
      </c>
      <c r="C7" s="8">
        <f>PL!B9</f>
        <v>22741</v>
      </c>
      <c r="D7" s="8">
        <f>PL!C9</f>
        <v>26894</v>
      </c>
      <c r="E7" s="8">
        <f>PL!D9</f>
        <v>39921</v>
      </c>
      <c r="F7" s="8">
        <f>PL!E9</f>
        <v>51481</v>
      </c>
      <c r="G7" s="8">
        <f>PL!F9</f>
        <v>42404</v>
      </c>
      <c r="H7" s="8">
        <f>PL!G9</f>
        <v>49022</v>
      </c>
      <c r="I7" s="8">
        <f>PL!H9</f>
        <v>70645</v>
      </c>
      <c r="J7" s="8">
        <f>PL!I9</f>
        <v>72327</v>
      </c>
      <c r="K7" s="8">
        <f>PL!J9</f>
        <v>84330</v>
      </c>
      <c r="L7" s="8">
        <f>PL!K9</f>
        <v>78655</v>
      </c>
      <c r="M7" s="8">
        <f>PL!L9</f>
        <v>87138</v>
      </c>
      <c r="N7" s="8">
        <v>80556</v>
      </c>
      <c r="O7" s="8">
        <v>88791</v>
      </c>
      <c r="P7" s="8">
        <f>130946</f>
        <v>130946</v>
      </c>
      <c r="Q7" s="8">
        <f>153627</f>
        <v>153627</v>
      </c>
    </row>
    <row r="8" spans="1:17" x14ac:dyDescent="0.2">
      <c r="A8" s="6" t="s">
        <v>6</v>
      </c>
      <c r="B8" s="7" t="s">
        <v>5</v>
      </c>
      <c r="C8" s="8">
        <v>10853</v>
      </c>
      <c r="D8" s="8">
        <v>9400</v>
      </c>
      <c r="E8" s="8">
        <v>12368</v>
      </c>
      <c r="F8" s="8">
        <v>15796</v>
      </c>
      <c r="G8" s="8">
        <v>12999</v>
      </c>
      <c r="H8" s="8">
        <v>12209</v>
      </c>
      <c r="I8" s="8">
        <v>18001</v>
      </c>
      <c r="J8" s="8">
        <v>17055</v>
      </c>
      <c r="K8" s="8">
        <v>22735</v>
      </c>
      <c r="L8" s="8">
        <v>25796</v>
      </c>
      <c r="M8" s="70">
        <v>31041</v>
      </c>
      <c r="N8" s="70">
        <v>30514</v>
      </c>
      <c r="O8" s="70">
        <v>31261</v>
      </c>
      <c r="P8" s="70">
        <f>42425</f>
        <v>42425</v>
      </c>
      <c r="Q8" s="70">
        <f>Q9+1416</f>
        <v>42815</v>
      </c>
    </row>
    <row r="9" spans="1:17" x14ac:dyDescent="0.2">
      <c r="A9" s="6" t="s">
        <v>7</v>
      </c>
      <c r="B9" s="7" t="s">
        <v>5</v>
      </c>
      <c r="C9" s="8">
        <f>PL!B17</f>
        <v>10853</v>
      </c>
      <c r="D9" s="8">
        <f>PL!C17</f>
        <v>9400</v>
      </c>
      <c r="E9" s="8">
        <f>PL!D17</f>
        <v>12368</v>
      </c>
      <c r="F9" s="8">
        <f>PL!E17</f>
        <v>15796</v>
      </c>
      <c r="G9" s="8">
        <f>PL!F17</f>
        <v>12999</v>
      </c>
      <c r="H9" s="8">
        <f>PL!G17</f>
        <v>12209</v>
      </c>
      <c r="I9" s="8">
        <f>PL!H17</f>
        <v>18001</v>
      </c>
      <c r="J9" s="8">
        <f>PL!I17</f>
        <v>17055</v>
      </c>
      <c r="K9" s="8">
        <f>PL!J17</f>
        <v>20057</v>
      </c>
      <c r="L9" s="8">
        <f>PL!K17</f>
        <v>21915</v>
      </c>
      <c r="M9" s="8">
        <f>PL!L17</f>
        <v>27782</v>
      </c>
      <c r="N9" s="8">
        <v>28203</v>
      </c>
      <c r="O9" s="8">
        <v>29971</v>
      </c>
      <c r="P9" s="8">
        <f>41378</f>
        <v>41378</v>
      </c>
      <c r="Q9" s="8">
        <f>41399</f>
        <v>41399</v>
      </c>
    </row>
    <row r="10" spans="1:17" x14ac:dyDescent="0.2">
      <c r="A10" s="6" t="s">
        <v>8</v>
      </c>
      <c r="B10" s="7" t="s">
        <v>5</v>
      </c>
      <c r="C10" s="8">
        <v>8201</v>
      </c>
      <c r="D10" s="8">
        <v>6931</v>
      </c>
      <c r="E10" s="8">
        <v>9430</v>
      </c>
      <c r="F10" s="8">
        <v>10611</v>
      </c>
      <c r="G10" s="8">
        <v>7675</v>
      </c>
      <c r="H10" s="8">
        <v>7301</v>
      </c>
      <c r="I10" s="8">
        <v>14823</v>
      </c>
      <c r="J10" s="8">
        <v>6118</v>
      </c>
      <c r="K10" s="8">
        <v>11175</v>
      </c>
      <c r="L10" s="8">
        <v>16482</v>
      </c>
      <c r="M10" s="6">
        <f>PL!L60</f>
        <v>21139</v>
      </c>
      <c r="N10" s="64">
        <v>18795</v>
      </c>
      <c r="O10" s="64">
        <v>19425</v>
      </c>
      <c r="P10" s="64">
        <f>28693</f>
        <v>28693</v>
      </c>
      <c r="Q10" s="64">
        <f>29777</f>
        <v>29777</v>
      </c>
    </row>
    <row r="11" spans="1:17" x14ac:dyDescent="0.2">
      <c r="A11" s="6" t="s">
        <v>9</v>
      </c>
      <c r="B11" s="7" t="s">
        <v>5</v>
      </c>
      <c r="C11" s="8">
        <v>8201</v>
      </c>
      <c r="D11" s="8">
        <v>6931</v>
      </c>
      <c r="E11" s="8">
        <v>9430</v>
      </c>
      <c r="F11" s="8">
        <v>10611</v>
      </c>
      <c r="G11" s="8">
        <v>7675</v>
      </c>
      <c r="H11" s="8">
        <v>7301</v>
      </c>
      <c r="I11" s="8">
        <v>14823</v>
      </c>
      <c r="J11" s="8">
        <v>6118</v>
      </c>
      <c r="K11" s="8">
        <v>8497</v>
      </c>
      <c r="L11" s="8">
        <v>12601</v>
      </c>
      <c r="M11" s="6">
        <f>PL!L58</f>
        <v>17880</v>
      </c>
      <c r="N11" s="64">
        <v>16484</v>
      </c>
      <c r="O11" s="64">
        <v>18135</v>
      </c>
      <c r="P11" s="64">
        <f>27646</f>
        <v>27646</v>
      </c>
      <c r="Q11" s="64">
        <f>28361</f>
        <v>28361</v>
      </c>
    </row>
    <row r="12" spans="1:17" x14ac:dyDescent="0.2">
      <c r="A12" s="6" t="s">
        <v>10</v>
      </c>
      <c r="B12" s="7" t="s">
        <v>5</v>
      </c>
      <c r="C12" s="8">
        <f>PL!B35</f>
        <v>7440</v>
      </c>
      <c r="D12" s="8">
        <f>PL!C35</f>
        <v>5000</v>
      </c>
      <c r="E12" s="8">
        <f>PL!D35</f>
        <v>6664</v>
      </c>
      <c r="F12" s="8">
        <f>PL!E35</f>
        <v>8369</v>
      </c>
      <c r="G12" s="8">
        <f>PL!F35</f>
        <v>5429</v>
      </c>
      <c r="H12" s="8">
        <f>PL!G35</f>
        <v>4902</v>
      </c>
      <c r="I12" s="8">
        <f>PL!H35</f>
        <v>7893</v>
      </c>
      <c r="J12" s="8">
        <f>PL!I35</f>
        <v>-700</v>
      </c>
      <c r="K12" s="8">
        <f>PL!J35</f>
        <v>186</v>
      </c>
      <c r="L12" s="8">
        <f>PL!K35</f>
        <v>2036</v>
      </c>
      <c r="M12" s="8">
        <f>PL!L35</f>
        <v>3007</v>
      </c>
      <c r="N12" s="8">
        <v>13001</v>
      </c>
      <c r="O12" s="8">
        <v>-3370</v>
      </c>
      <c r="P12" s="8">
        <f>-6914</f>
        <v>-6914</v>
      </c>
      <c r="Q12" s="8">
        <f>-22336</f>
        <v>-22336</v>
      </c>
    </row>
    <row r="13" spans="1:17" x14ac:dyDescent="0.2">
      <c r="A13" s="9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P13" s="6"/>
      <c r="Q13" s="6"/>
    </row>
    <row r="14" spans="1:17" x14ac:dyDescent="0.2">
      <c r="A14" s="5" t="s">
        <v>11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P14" s="6"/>
      <c r="Q14" s="6"/>
    </row>
    <row r="15" spans="1:17" x14ac:dyDescent="0.2">
      <c r="A15" s="9" t="s">
        <v>12</v>
      </c>
      <c r="B15" s="7" t="s">
        <v>5</v>
      </c>
      <c r="C15" s="8">
        <v>10406</v>
      </c>
      <c r="D15" s="8">
        <v>16636</v>
      </c>
      <c r="E15" s="8">
        <v>13219</v>
      </c>
      <c r="F15" s="8">
        <v>16291</v>
      </c>
      <c r="G15" s="8">
        <v>19414</v>
      </c>
      <c r="H15" s="8">
        <v>18054</v>
      </c>
      <c r="I15" s="8">
        <v>23987</v>
      </c>
      <c r="J15" s="8">
        <v>20912</v>
      </c>
      <c r="K15" s="8">
        <v>52692</v>
      </c>
      <c r="L15" s="8">
        <v>50505</v>
      </c>
      <c r="M15" s="8">
        <v>83438</v>
      </c>
      <c r="N15" s="8">
        <v>93088</v>
      </c>
      <c r="O15" s="8">
        <v>118611</v>
      </c>
      <c r="P15" s="8">
        <f>176593</f>
        <v>176593</v>
      </c>
      <c r="Q15" s="8">
        <f>136898+85593</f>
        <v>222491</v>
      </c>
    </row>
    <row r="16" spans="1:17" x14ac:dyDescent="0.2">
      <c r="A16" s="9" t="s">
        <v>13</v>
      </c>
      <c r="B16" s="7" t="s">
        <v>5</v>
      </c>
      <c r="C16" s="8">
        <v>10406</v>
      </c>
      <c r="D16" s="8">
        <v>16636</v>
      </c>
      <c r="E16" s="8">
        <v>13219</v>
      </c>
      <c r="F16" s="8">
        <v>16291</v>
      </c>
      <c r="G16" s="8">
        <v>19414</v>
      </c>
      <c r="H16" s="8">
        <v>18054</v>
      </c>
      <c r="I16" s="8">
        <v>23987</v>
      </c>
      <c r="J16" s="8">
        <v>20912</v>
      </c>
      <c r="K16" s="8">
        <v>52692</v>
      </c>
      <c r="L16" s="8">
        <v>45510</v>
      </c>
      <c r="M16" s="8">
        <v>47210</v>
      </c>
      <c r="N16" s="8">
        <v>38326</v>
      </c>
      <c r="O16" s="8">
        <f>O15-O17</f>
        <v>46763</v>
      </c>
      <c r="P16" s="8">
        <f>73467</f>
        <v>73467</v>
      </c>
      <c r="Q16" s="8">
        <f>Q15-Q17</f>
        <v>88769</v>
      </c>
    </row>
    <row r="17" spans="1:17" x14ac:dyDescent="0.2">
      <c r="A17" s="9" t="s">
        <v>14</v>
      </c>
      <c r="B17" s="7" t="s">
        <v>5</v>
      </c>
      <c r="C17" s="8"/>
      <c r="D17" s="8"/>
      <c r="E17" s="8"/>
      <c r="F17" s="8"/>
      <c r="G17" s="8"/>
      <c r="H17" s="8"/>
      <c r="I17" s="8"/>
      <c r="J17" s="8"/>
      <c r="K17" s="8"/>
      <c r="L17" s="8">
        <v>4995</v>
      </c>
      <c r="M17" s="8">
        <v>36228</v>
      </c>
      <c r="N17" s="8">
        <v>54762</v>
      </c>
      <c r="O17" s="8">
        <v>71848</v>
      </c>
      <c r="P17" s="8">
        <f>103126</f>
        <v>103126</v>
      </c>
      <c r="Q17" s="8">
        <f>70648+63074</f>
        <v>133722</v>
      </c>
    </row>
    <row r="18" spans="1:17" x14ac:dyDescent="0.2">
      <c r="A18" s="9" t="s">
        <v>15</v>
      </c>
      <c r="B18" s="7" t="s">
        <v>5</v>
      </c>
      <c r="C18" s="8">
        <v>15768</v>
      </c>
      <c r="D18" s="8">
        <v>17526</v>
      </c>
      <c r="E18" s="8">
        <v>13037</v>
      </c>
      <c r="F18" s="8">
        <v>15655</v>
      </c>
      <c r="G18" s="8">
        <v>12017</v>
      </c>
      <c r="H18" s="8">
        <v>10206</v>
      </c>
      <c r="I18" s="8">
        <v>14278</v>
      </c>
      <c r="J18" s="8">
        <v>23066</v>
      </c>
      <c r="K18" s="8">
        <v>31128</v>
      </c>
      <c r="L18" s="8">
        <v>25930</v>
      </c>
      <c r="M18" s="8">
        <v>44629</v>
      </c>
      <c r="N18" s="8">
        <v>23811</v>
      </c>
      <c r="O18" s="8">
        <v>9724</v>
      </c>
      <c r="P18" s="8">
        <f>4320</f>
        <v>4320</v>
      </c>
      <c r="Q18" s="8">
        <f>4889</f>
        <v>4889</v>
      </c>
    </row>
    <row r="19" spans="1:17" x14ac:dyDescent="0.2">
      <c r="A19" s="9" t="s">
        <v>16</v>
      </c>
      <c r="B19" s="7" t="s">
        <v>5</v>
      </c>
      <c r="C19" s="8"/>
      <c r="D19" s="8"/>
      <c r="E19" s="8"/>
      <c r="F19" s="8"/>
      <c r="G19" s="8"/>
      <c r="H19" s="8"/>
      <c r="I19" s="8"/>
      <c r="J19" s="8"/>
      <c r="K19" s="8">
        <v>692</v>
      </c>
      <c r="L19" s="8">
        <v>23572</v>
      </c>
      <c r="M19" s="8">
        <v>59752</v>
      </c>
      <c r="N19" s="8">
        <v>60362</v>
      </c>
      <c r="O19" s="8">
        <v>77440</v>
      </c>
      <c r="P19" s="8">
        <f>112289</f>
        <v>112289</v>
      </c>
      <c r="Q19" s="8">
        <f>104298</f>
        <v>104298</v>
      </c>
    </row>
    <row r="20" spans="1:17" x14ac:dyDescent="0.2">
      <c r="A20" s="9" t="s">
        <v>17</v>
      </c>
      <c r="B20" s="7" t="s">
        <v>5</v>
      </c>
      <c r="C20" s="8">
        <v>-5362</v>
      </c>
      <c r="D20" s="8">
        <v>-890</v>
      </c>
      <c r="E20" s="8">
        <v>182</v>
      </c>
      <c r="F20" s="8">
        <v>636</v>
      </c>
      <c r="G20" s="8">
        <v>7397</v>
      </c>
      <c r="H20" s="8">
        <v>7848</v>
      </c>
      <c r="I20" s="8">
        <v>9709</v>
      </c>
      <c r="J20" s="8">
        <v>-2154</v>
      </c>
      <c r="K20" s="8">
        <v>21484</v>
      </c>
      <c r="L20" s="8">
        <v>19580</v>
      </c>
      <c r="M20" s="8">
        <v>2581</v>
      </c>
      <c r="N20" s="8">
        <v>14515</v>
      </c>
      <c r="O20" s="8">
        <v>37039</v>
      </c>
      <c r="P20" s="8">
        <f>69147</f>
        <v>69147</v>
      </c>
      <c r="Q20" s="8">
        <f>83880</f>
        <v>83880</v>
      </c>
    </row>
    <row r="21" spans="1:17" x14ac:dyDescent="0.2">
      <c r="A21" s="9" t="s">
        <v>18</v>
      </c>
      <c r="B21" s="7" t="s">
        <v>19</v>
      </c>
      <c r="C21" s="10">
        <f>C20/C11</f>
        <v>-0.65382270454822577</v>
      </c>
      <c r="D21" s="10">
        <f>D20/D11</f>
        <v>-0.12840859904775645</v>
      </c>
      <c r="E21" s="10">
        <v>0.02</v>
      </c>
      <c r="F21" s="10">
        <v>0.06</v>
      </c>
      <c r="G21" s="10">
        <v>0.96</v>
      </c>
      <c r="H21" s="10">
        <v>1.07</v>
      </c>
      <c r="I21" s="10">
        <v>0.65</v>
      </c>
      <c r="J21" s="12">
        <v>-0.35207584177835888</v>
      </c>
      <c r="K21" s="10">
        <v>1.81</v>
      </c>
      <c r="L21" s="10">
        <v>1.1879626258949161</v>
      </c>
      <c r="M21" s="71">
        <v>0.12209659870381759</v>
      </c>
      <c r="N21" s="71">
        <v>0.77</v>
      </c>
      <c r="O21" s="71">
        <v>1.9067696267696268</v>
      </c>
      <c r="P21" s="71">
        <f>2.41</f>
        <v>2.41</v>
      </c>
      <c r="Q21" s="71">
        <f>Q20/Q10</f>
        <v>2.8169392484132048</v>
      </c>
    </row>
    <row r="22" spans="1:17" x14ac:dyDescent="0.2">
      <c r="A22" s="9"/>
      <c r="B22" s="7"/>
      <c r="C22" s="10"/>
      <c r="D22" s="10"/>
      <c r="E22" s="10"/>
      <c r="F22" s="10"/>
      <c r="G22" s="10"/>
      <c r="H22" s="10"/>
      <c r="I22" s="10"/>
      <c r="J22" s="12"/>
      <c r="K22" s="10"/>
      <c r="L22" s="115"/>
      <c r="M22" s="115"/>
      <c r="N22" s="115"/>
      <c r="O22" s="115"/>
      <c r="P22" s="115"/>
      <c r="Q22" s="6"/>
    </row>
    <row r="23" spans="1:17" x14ac:dyDescent="0.2">
      <c r="A23" s="5" t="s">
        <v>20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6"/>
      <c r="Q23" s="6"/>
    </row>
    <row r="24" spans="1:17" x14ac:dyDescent="0.2">
      <c r="A24" s="9" t="s">
        <v>21</v>
      </c>
      <c r="B24" s="7" t="s">
        <v>5</v>
      </c>
      <c r="C24" s="8">
        <v>-2775</v>
      </c>
      <c r="D24" s="8">
        <v>-3027</v>
      </c>
      <c r="E24" s="8">
        <v>678</v>
      </c>
      <c r="F24" s="8">
        <v>2099</v>
      </c>
      <c r="G24" s="8">
        <v>-3297</v>
      </c>
      <c r="H24" s="8">
        <v>4040</v>
      </c>
      <c r="I24" s="8">
        <v>2681</v>
      </c>
      <c r="J24" s="8">
        <v>17403</v>
      </c>
      <c r="K24" s="8">
        <v>13336</v>
      </c>
      <c r="L24" s="8">
        <v>3906</v>
      </c>
      <c r="M24" s="8">
        <v>-17342</v>
      </c>
      <c r="N24" s="8">
        <v>-45552</v>
      </c>
      <c r="O24" s="8">
        <v>-40516</v>
      </c>
      <c r="P24" s="8">
        <f>-79020</f>
        <v>-79020</v>
      </c>
      <c r="Q24" s="8">
        <f>-81732+17061</f>
        <v>-64671</v>
      </c>
    </row>
    <row r="25" spans="1:17" x14ac:dyDescent="0.2">
      <c r="A25" s="9" t="s">
        <v>22</v>
      </c>
      <c r="B25" s="7" t="s">
        <v>5</v>
      </c>
      <c r="C25" s="8"/>
      <c r="D25" s="8"/>
      <c r="E25" s="8"/>
      <c r="F25" s="8"/>
      <c r="G25" s="8"/>
      <c r="H25" s="8"/>
      <c r="I25" s="8"/>
      <c r="J25" s="8"/>
      <c r="K25" s="8">
        <v>14028</v>
      </c>
      <c r="L25" s="8">
        <v>26786</v>
      </c>
      <c r="M25" s="8">
        <v>18838</v>
      </c>
      <c r="N25" s="8">
        <f>N24+N28+N29</f>
        <v>-17780</v>
      </c>
      <c r="O25" s="8">
        <f>O24+O28+O29</f>
        <v>-5435</v>
      </c>
      <c r="P25" s="8">
        <f>-23793</f>
        <v>-23793</v>
      </c>
      <c r="Q25" s="8">
        <f>Q24+Q28+Q29</f>
        <v>-22346</v>
      </c>
    </row>
    <row r="26" spans="1:17" x14ac:dyDescent="0.2">
      <c r="A26" s="9" t="s">
        <v>23</v>
      </c>
      <c r="B26" s="7" t="s">
        <v>5</v>
      </c>
      <c r="C26" s="8">
        <v>-4482</v>
      </c>
      <c r="D26" s="8">
        <v>-4897</v>
      </c>
      <c r="E26" s="8">
        <v>-1462</v>
      </c>
      <c r="F26" s="8">
        <v>-76</v>
      </c>
      <c r="G26" s="8">
        <v>-5994</v>
      </c>
      <c r="H26" s="8">
        <v>819</v>
      </c>
      <c r="I26" s="8">
        <v>243</v>
      </c>
      <c r="J26" s="8">
        <v>14672</v>
      </c>
      <c r="K26" s="8">
        <v>-16624</v>
      </c>
      <c r="L26" s="8">
        <v>-588</v>
      </c>
      <c r="M26" s="8">
        <v>-21623</v>
      </c>
      <c r="N26" s="8">
        <v>-51705</v>
      </c>
      <c r="O26" s="8">
        <v>-57270</v>
      </c>
      <c r="P26" s="8">
        <f>-95015</f>
        <v>-95015</v>
      </c>
      <c r="Q26" s="8">
        <f>-81578</f>
        <v>-81578</v>
      </c>
    </row>
    <row r="27" spans="1:17" x14ac:dyDescent="0.2">
      <c r="A27" s="9" t="s">
        <v>24</v>
      </c>
      <c r="B27" s="7" t="s">
        <v>5</v>
      </c>
      <c r="C27" s="8"/>
      <c r="D27" s="8"/>
      <c r="E27" s="8"/>
      <c r="F27" s="8"/>
      <c r="G27" s="8"/>
      <c r="H27" s="8"/>
      <c r="I27" s="8"/>
      <c r="J27" s="8"/>
      <c r="K27" s="8">
        <v>-15932</v>
      </c>
      <c r="L27" s="8">
        <v>22292</v>
      </c>
      <c r="M27" s="8">
        <v>14557</v>
      </c>
      <c r="N27" s="8">
        <f>N26+N28+N29</f>
        <v>-23933</v>
      </c>
      <c r="O27" s="8">
        <f>O26+O28+O29</f>
        <v>-22189</v>
      </c>
      <c r="P27" s="8">
        <f>-39788</f>
        <v>-39788</v>
      </c>
      <c r="Q27" s="8">
        <f>Q26+Q28+Q29</f>
        <v>-39253</v>
      </c>
    </row>
    <row r="28" spans="1:17" x14ac:dyDescent="0.2">
      <c r="A28" s="9" t="s">
        <v>25</v>
      </c>
      <c r="B28" s="7" t="s">
        <v>5</v>
      </c>
      <c r="C28" s="8"/>
      <c r="D28" s="8"/>
      <c r="E28" s="8"/>
      <c r="F28" s="8"/>
      <c r="G28" s="8"/>
      <c r="H28" s="8"/>
      <c r="I28" s="8"/>
      <c r="J28" s="8"/>
      <c r="K28" s="8">
        <v>692</v>
      </c>
      <c r="L28" s="8">
        <v>22880</v>
      </c>
      <c r="M28" s="8">
        <v>36180</v>
      </c>
      <c r="N28" s="8">
        <v>610</v>
      </c>
      <c r="O28" s="8">
        <v>17078</v>
      </c>
      <c r="P28" s="8">
        <f>34849</f>
        <v>34849</v>
      </c>
      <c r="Q28" s="8">
        <f>60003-67994</f>
        <v>-7991</v>
      </c>
    </row>
    <row r="29" spans="1:17" x14ac:dyDescent="0.2">
      <c r="A29" s="9" t="s">
        <v>294</v>
      </c>
      <c r="B29" s="7" t="s">
        <v>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v>27162</v>
      </c>
      <c r="O29" s="8">
        <v>18003</v>
      </c>
      <c r="P29" s="8">
        <f>20378</f>
        <v>20378</v>
      </c>
      <c r="Q29" s="8">
        <f>50316</f>
        <v>50316</v>
      </c>
    </row>
    <row r="30" spans="1:17" x14ac:dyDescent="0.2">
      <c r="A30" s="9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P30" s="6"/>
      <c r="Q30" s="6"/>
    </row>
    <row r="31" spans="1:17" x14ac:dyDescent="0.2">
      <c r="A31" s="5" t="s">
        <v>26</v>
      </c>
      <c r="B31" s="7"/>
      <c r="C31" s="11"/>
      <c r="D31" s="11"/>
      <c r="E31" s="11"/>
      <c r="F31" s="11"/>
      <c r="G31" s="11"/>
      <c r="H31" s="11"/>
      <c r="I31" s="11"/>
      <c r="J31" s="11"/>
      <c r="K31" s="11"/>
      <c r="L31" s="11"/>
      <c r="P31" s="6"/>
      <c r="Q31" s="6"/>
    </row>
    <row r="32" spans="1:17" x14ac:dyDescent="0.2">
      <c r="A32" s="9" t="s">
        <v>27</v>
      </c>
      <c r="B32" s="7" t="s">
        <v>5</v>
      </c>
      <c r="C32" s="8">
        <v>18306</v>
      </c>
      <c r="D32" s="8">
        <v>23739</v>
      </c>
      <c r="E32" s="8">
        <v>30227</v>
      </c>
      <c r="F32" s="8">
        <v>39961.02476</v>
      </c>
      <c r="G32" s="8">
        <v>35079.970713895411</v>
      </c>
      <c r="H32" s="8">
        <v>47444</v>
      </c>
      <c r="I32" s="8">
        <v>50239.967601419994</v>
      </c>
      <c r="J32" s="8">
        <v>68731.252889259995</v>
      </c>
      <c r="K32" s="8">
        <v>77627.406625240008</v>
      </c>
      <c r="L32" s="8">
        <v>79922.186658060004</v>
      </c>
      <c r="M32" s="8">
        <f>'Operating Results'!M7</f>
        <v>84387.993910000005</v>
      </c>
      <c r="N32" s="8">
        <v>58652</v>
      </c>
      <c r="O32" s="8">
        <v>105564</v>
      </c>
      <c r="P32" s="8">
        <f>146241</f>
        <v>146241</v>
      </c>
      <c r="Q32" s="8">
        <v>153538</v>
      </c>
    </row>
    <row r="33" spans="1:17" x14ac:dyDescent="0.2">
      <c r="A33" s="9" t="s">
        <v>28</v>
      </c>
      <c r="B33" s="7" t="s">
        <v>5</v>
      </c>
      <c r="C33" s="8"/>
      <c r="D33" s="8"/>
      <c r="E33" s="8">
        <v>26073</v>
      </c>
      <c r="F33" s="8">
        <v>35335</v>
      </c>
      <c r="G33" s="8">
        <v>25845</v>
      </c>
      <c r="H33" s="8">
        <v>39723.422637700001</v>
      </c>
      <c r="I33" s="8">
        <v>46146.695167350001</v>
      </c>
      <c r="J33" s="8">
        <v>62785.436452919996</v>
      </c>
      <c r="K33" s="8">
        <v>77713.387916539999</v>
      </c>
      <c r="L33" s="8">
        <v>81985.030014120013</v>
      </c>
      <c r="M33" s="64">
        <f>'Operating Results'!M8</f>
        <v>84093.78253756999</v>
      </c>
      <c r="N33" s="8">
        <v>60386</v>
      </c>
      <c r="O33" s="8">
        <v>82108</v>
      </c>
      <c r="P33" s="8">
        <f>95575</f>
        <v>95575</v>
      </c>
      <c r="Q33" s="8">
        <v>100507</v>
      </c>
    </row>
    <row r="34" spans="1:17" x14ac:dyDescent="0.2">
      <c r="A34" s="9" t="s">
        <v>29</v>
      </c>
      <c r="B34" s="7" t="s">
        <v>30</v>
      </c>
      <c r="C34" s="8">
        <v>67797</v>
      </c>
      <c r="D34" s="8">
        <v>75013</v>
      </c>
      <c r="E34" s="8">
        <v>84889</v>
      </c>
      <c r="F34" s="8">
        <v>87431</v>
      </c>
      <c r="G34" s="8">
        <v>91057.20360523343</v>
      </c>
      <c r="H34" s="8">
        <v>95649.762108517301</v>
      </c>
      <c r="I34" s="8">
        <v>98094.123288225688</v>
      </c>
      <c r="J34" s="8">
        <v>109445.30457033213</v>
      </c>
      <c r="K34" s="8">
        <v>123140.09552653086</v>
      </c>
      <c r="L34" s="8">
        <v>148500.69067665632</v>
      </c>
      <c r="M34" s="8">
        <f>'Operating Results'!M9</f>
        <v>189008.00940000001</v>
      </c>
      <c r="N34" s="8">
        <v>200591</v>
      </c>
      <c r="O34" s="8">
        <v>192904</v>
      </c>
      <c r="P34" s="8">
        <f>209183</f>
        <v>209183</v>
      </c>
      <c r="Q34" s="8">
        <v>228672</v>
      </c>
    </row>
    <row r="35" spans="1:17" x14ac:dyDescent="0.2">
      <c r="A35" s="9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P35" s="6"/>
      <c r="Q35" s="6"/>
    </row>
    <row r="36" spans="1:17" x14ac:dyDescent="0.2">
      <c r="A36" s="13" t="s">
        <v>31</v>
      </c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  <c r="P36" s="6"/>
      <c r="Q36" s="6"/>
    </row>
    <row r="37" spans="1:17" x14ac:dyDescent="0.2">
      <c r="A37" s="9" t="s">
        <v>32</v>
      </c>
      <c r="B37" s="7" t="s">
        <v>33</v>
      </c>
      <c r="C37" s="8">
        <v>4192</v>
      </c>
      <c r="D37" s="8">
        <v>5797</v>
      </c>
      <c r="E37" s="8">
        <v>6876</v>
      </c>
      <c r="F37" s="8">
        <v>9045</v>
      </c>
      <c r="G37" s="8">
        <v>7841</v>
      </c>
      <c r="H37" s="8">
        <v>9590</v>
      </c>
      <c r="I37" s="8">
        <v>9916</v>
      </c>
      <c r="J37" s="8">
        <v>12312</v>
      </c>
      <c r="K37" s="8">
        <v>12040</v>
      </c>
      <c r="L37" s="8">
        <v>9725</v>
      </c>
      <c r="M37" s="6">
        <f>'Operating Results'!M12</f>
        <v>8560</v>
      </c>
      <c r="N37" s="64">
        <v>6457</v>
      </c>
      <c r="O37" s="64">
        <v>11689</v>
      </c>
      <c r="P37" s="64">
        <f>14304</f>
        <v>14304</v>
      </c>
      <c r="Q37" s="64">
        <v>12509</v>
      </c>
    </row>
    <row r="38" spans="1:17" x14ac:dyDescent="0.2">
      <c r="A38" s="9" t="s">
        <v>34</v>
      </c>
      <c r="B38" s="7" t="s">
        <v>33</v>
      </c>
      <c r="C38" s="8"/>
      <c r="D38" s="8">
        <v>794</v>
      </c>
      <c r="E38" s="8">
        <v>1415</v>
      </c>
      <c r="F38" s="8">
        <v>2026</v>
      </c>
      <c r="G38" s="8">
        <v>1184</v>
      </c>
      <c r="H38" s="8">
        <v>2047</v>
      </c>
      <c r="I38" s="8">
        <v>3357</v>
      </c>
      <c r="J38" s="8">
        <v>5027</v>
      </c>
      <c r="K38" s="8">
        <v>4336</v>
      </c>
      <c r="L38" s="8">
        <v>4168</v>
      </c>
      <c r="M38" s="6">
        <f>'Operating Results'!M13</f>
        <v>3499</v>
      </c>
      <c r="N38" s="64">
        <v>2531</v>
      </c>
      <c r="O38" s="64">
        <v>5818</v>
      </c>
      <c r="P38" s="64">
        <f>4229</f>
        <v>4229</v>
      </c>
      <c r="Q38" s="64">
        <v>2613</v>
      </c>
    </row>
    <row r="39" spans="1:17" x14ac:dyDescent="0.2">
      <c r="A39" s="9" t="s">
        <v>35</v>
      </c>
      <c r="B39" s="7" t="s">
        <v>36</v>
      </c>
      <c r="C39" s="8"/>
      <c r="D39" s="8">
        <v>14</v>
      </c>
      <c r="E39" s="8">
        <v>21</v>
      </c>
      <c r="F39" s="8">
        <v>22</v>
      </c>
      <c r="G39" s="8">
        <v>15</v>
      </c>
      <c r="H39" s="8">
        <v>21</v>
      </c>
      <c r="I39" s="8">
        <v>34</v>
      </c>
      <c r="J39" s="8">
        <v>41</v>
      </c>
      <c r="K39" s="14">
        <v>36</v>
      </c>
      <c r="L39" s="14">
        <v>43</v>
      </c>
      <c r="M39" s="72">
        <f>'Operating Results'!M14</f>
        <v>40.876168224299064</v>
      </c>
      <c r="N39" s="72">
        <v>39</v>
      </c>
      <c r="O39" s="72">
        <v>50</v>
      </c>
      <c r="P39" s="72">
        <f>30</f>
        <v>30</v>
      </c>
      <c r="Q39" s="72">
        <v>21</v>
      </c>
    </row>
    <row r="40" spans="1:17" x14ac:dyDescent="0.2">
      <c r="A40" s="9"/>
      <c r="B40" s="7"/>
      <c r="C40" s="8"/>
      <c r="D40" s="8"/>
      <c r="E40" s="8"/>
      <c r="F40" s="8"/>
      <c r="G40" s="8"/>
      <c r="H40" s="8"/>
      <c r="I40" s="8"/>
      <c r="J40" s="8"/>
      <c r="K40" s="14"/>
      <c r="L40" s="14"/>
      <c r="P40" s="6"/>
      <c r="Q40" s="6"/>
    </row>
    <row r="41" spans="1:17" x14ac:dyDescent="0.2">
      <c r="A41" s="13" t="s">
        <v>37</v>
      </c>
      <c r="B41" s="7"/>
      <c r="C41" s="11"/>
      <c r="D41" s="11"/>
      <c r="E41" s="11"/>
      <c r="F41" s="11"/>
      <c r="G41" s="11"/>
      <c r="H41" s="11"/>
      <c r="I41" s="11"/>
      <c r="J41" s="11"/>
      <c r="K41" s="11"/>
      <c r="L41" s="11"/>
      <c r="P41" s="6"/>
      <c r="Q41" s="6"/>
    </row>
    <row r="42" spans="1:17" x14ac:dyDescent="0.2">
      <c r="A42" s="9" t="s">
        <v>27</v>
      </c>
      <c r="B42" s="7" t="s">
        <v>38</v>
      </c>
      <c r="C42" s="8">
        <v>270012</v>
      </c>
      <c r="D42" s="8">
        <v>316466</v>
      </c>
      <c r="E42" s="8">
        <v>356075</v>
      </c>
      <c r="F42" s="8">
        <v>457055.99999999994</v>
      </c>
      <c r="G42" s="8">
        <v>385252.00999999983</v>
      </c>
      <c r="H42" s="8">
        <v>496008</v>
      </c>
      <c r="I42" s="8">
        <v>512160.82999999996</v>
      </c>
      <c r="J42" s="8">
        <v>627996.36000000057</v>
      </c>
      <c r="K42" s="8">
        <v>630399.10999999975</v>
      </c>
      <c r="L42" s="8">
        <v>538194.04</v>
      </c>
      <c r="M42" s="8">
        <f>'Operating Results'!M17</f>
        <v>446479.84000000008</v>
      </c>
      <c r="N42" s="8">
        <v>292396</v>
      </c>
      <c r="O42" s="8">
        <v>547235</v>
      </c>
      <c r="P42" s="8">
        <f>699107</f>
        <v>699107</v>
      </c>
      <c r="Q42" s="8">
        <v>671437</v>
      </c>
    </row>
    <row r="43" spans="1:17" x14ac:dyDescent="0.2">
      <c r="A43" s="9" t="s">
        <v>39</v>
      </c>
      <c r="B43" s="7" t="s">
        <v>38</v>
      </c>
      <c r="C43" s="8">
        <v>328435</v>
      </c>
      <c r="D43" s="8">
        <v>363120</v>
      </c>
      <c r="E43" s="8">
        <v>468248</v>
      </c>
      <c r="F43" s="8">
        <v>583483</v>
      </c>
      <c r="G43" s="8">
        <v>502203</v>
      </c>
      <c r="H43" s="8">
        <v>420325</v>
      </c>
      <c r="I43" s="8">
        <v>422946</v>
      </c>
      <c r="J43" s="8">
        <v>479339</v>
      </c>
      <c r="K43" s="8">
        <v>621866.93999999994</v>
      </c>
      <c r="L43" s="8">
        <v>540325.10000000009</v>
      </c>
      <c r="M43" s="8">
        <f>'Operating Results'!M18</f>
        <v>421209.4</v>
      </c>
      <c r="N43" s="8">
        <v>734773</v>
      </c>
      <c r="O43" s="8">
        <v>416726</v>
      </c>
      <c r="P43" s="8">
        <f>161232</f>
        <v>161232</v>
      </c>
      <c r="Q43" s="8">
        <v>483472</v>
      </c>
    </row>
    <row r="44" spans="1:17" x14ac:dyDescent="0.2">
      <c r="A44" s="9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P44" s="6"/>
      <c r="Q44" s="6"/>
    </row>
    <row r="45" spans="1:17" x14ac:dyDescent="0.2">
      <c r="A45" s="13" t="s">
        <v>40</v>
      </c>
      <c r="B45" s="7"/>
      <c r="C45" s="11"/>
      <c r="D45" s="11"/>
      <c r="E45" s="11"/>
      <c r="F45" s="11"/>
      <c r="G45" s="11"/>
      <c r="H45" s="11"/>
      <c r="I45" s="11"/>
      <c r="J45" s="11"/>
      <c r="K45" s="11"/>
      <c r="L45" s="11"/>
      <c r="P45" s="6"/>
      <c r="Q45" s="6"/>
    </row>
    <row r="46" spans="1:17" x14ac:dyDescent="0.2">
      <c r="A46" s="9" t="s">
        <v>41</v>
      </c>
      <c r="B46" s="7" t="s">
        <v>5</v>
      </c>
      <c r="C46" s="14">
        <v>55185</v>
      </c>
      <c r="D46" s="14">
        <v>71934</v>
      </c>
      <c r="E46" s="14">
        <v>89252.554799999998</v>
      </c>
      <c r="F46" s="14">
        <v>104286</v>
      </c>
      <c r="G46" s="14">
        <v>104385</v>
      </c>
      <c r="H46" s="14">
        <v>115818.19999999998</v>
      </c>
      <c r="I46" s="14">
        <v>135196.66637727781</v>
      </c>
      <c r="J46" s="14">
        <v>186907.59125065611</v>
      </c>
      <c r="K46" s="14">
        <v>188499.00000200002</v>
      </c>
      <c r="L46" s="14">
        <v>203530.00000100001</v>
      </c>
      <c r="M46" s="14">
        <v>270046.00000100001</v>
      </c>
      <c r="N46" s="14">
        <v>288374</v>
      </c>
      <c r="O46" s="14">
        <v>302526</v>
      </c>
      <c r="P46" s="14">
        <f>304974</f>
        <v>304974</v>
      </c>
      <c r="Q46" s="14">
        <v>318124.47039999999</v>
      </c>
    </row>
    <row r="47" spans="1:17" x14ac:dyDescent="0.2">
      <c r="A47" s="9" t="s">
        <v>42</v>
      </c>
      <c r="B47" s="7" t="s">
        <v>5</v>
      </c>
      <c r="C47" s="14">
        <v>55185</v>
      </c>
      <c r="D47" s="14">
        <v>71934</v>
      </c>
      <c r="E47" s="14">
        <v>89252.554799999998</v>
      </c>
      <c r="F47" s="14">
        <v>104286</v>
      </c>
      <c r="G47" s="14">
        <v>104384</v>
      </c>
      <c r="H47" s="14">
        <v>115818.19999999998</v>
      </c>
      <c r="I47" s="14">
        <v>126924.99810065069</v>
      </c>
      <c r="J47" s="14">
        <v>176924.55421948357</v>
      </c>
      <c r="K47" s="14">
        <v>176053.00000200002</v>
      </c>
      <c r="L47" s="14">
        <v>190890.00000100001</v>
      </c>
      <c r="M47" s="14">
        <v>255761.00000100001</v>
      </c>
      <c r="N47" s="14">
        <v>272064</v>
      </c>
      <c r="O47" s="14">
        <v>285984</v>
      </c>
      <c r="P47" s="14">
        <f>284288</f>
        <v>284288</v>
      </c>
      <c r="Q47" s="14">
        <v>295545.47039999999</v>
      </c>
    </row>
    <row r="48" spans="1:17" x14ac:dyDescent="0.2">
      <c r="A48" s="15" t="s">
        <v>43</v>
      </c>
      <c r="B48" s="16" t="s">
        <v>44</v>
      </c>
      <c r="C48" s="17">
        <v>3245</v>
      </c>
      <c r="D48" s="17">
        <v>3575</v>
      </c>
      <c r="E48" s="17">
        <v>3442.2999999999997</v>
      </c>
      <c r="F48" s="17">
        <v>3114.3</v>
      </c>
      <c r="G48" s="17">
        <v>2718.8999999999996</v>
      </c>
      <c r="H48" s="17">
        <v>2818.2229412474217</v>
      </c>
      <c r="I48" s="17">
        <v>2818.40783054234</v>
      </c>
      <c r="J48" s="17">
        <v>3357.3835013648318</v>
      </c>
      <c r="K48" s="17">
        <v>3327.5928982373121</v>
      </c>
      <c r="L48" s="17">
        <v>2840.3881505620302</v>
      </c>
      <c r="M48" s="17">
        <f>6002970.75150467/1000</f>
        <v>6002.9707515046703</v>
      </c>
      <c r="N48" s="17">
        <v>6412</v>
      </c>
      <c r="O48" s="17">
        <v>5884</v>
      </c>
      <c r="P48" s="17">
        <f>5485</f>
        <v>5485</v>
      </c>
      <c r="Q48" s="17">
        <v>5464.8534132500008</v>
      </c>
    </row>
    <row r="49" spans="1:12" x14ac:dyDescent="0.2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2">
      <c r="A50" s="18" t="s">
        <v>45</v>
      </c>
      <c r="B50" s="10"/>
      <c r="C50" s="10"/>
      <c r="D50" s="10"/>
    </row>
    <row r="52" spans="1:12" x14ac:dyDescent="0.2">
      <c r="G52" s="110"/>
    </row>
  </sheetData>
  <hyperlinks>
    <hyperlink ref="A3" location="Contents!A1" display="Back to Contents" xr:uid="{EEB2A708-1D69-4047-9321-D7237D4BD53A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A84F-1335-48E0-A12C-D74D3EF1A0F3}">
  <dimension ref="A1:CA51"/>
  <sheetViews>
    <sheetView showGridLines="0" zoomScale="90" zoomScaleNormal="90" workbookViewId="0">
      <pane xSplit="1" topLeftCell="BN1" activePane="topRight" state="frozen"/>
      <selection pane="topRight" activeCell="CC9" sqref="CC9"/>
    </sheetView>
  </sheetViews>
  <sheetFormatPr defaultColWidth="9.140625" defaultRowHeight="14.25" outlineLevelCol="1" x14ac:dyDescent="0.2"/>
  <cols>
    <col min="1" max="1" width="51.85546875" style="41" bestFit="1" customWidth="1"/>
    <col min="2" max="2" width="9.140625" style="6"/>
    <col min="3" max="17" width="9.42578125" style="6" customWidth="1"/>
    <col min="18" max="18" width="9.140625" style="6"/>
    <col min="19" max="64" width="9.140625" style="6" customWidth="1" outlineLevel="1"/>
    <col min="65" max="71" width="9.140625" style="6" outlineLevel="1"/>
    <col min="72" max="76" width="9.140625" style="41" outlineLevel="1"/>
    <col min="77" max="79" width="9.85546875" style="41" bestFit="1" customWidth="1" outlineLevel="1"/>
    <col min="80" max="16384" width="9.140625" style="41"/>
  </cols>
  <sheetData>
    <row r="1" spans="1:79" x14ac:dyDescent="0.2">
      <c r="A1" s="68"/>
      <c r="B1" s="7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</row>
    <row r="2" spans="1:79" ht="18" x14ac:dyDescent="0.25">
      <c r="A2" s="54" t="s">
        <v>46</v>
      </c>
      <c r="B2" s="7"/>
      <c r="C2" s="10"/>
      <c r="D2" s="10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</row>
    <row r="3" spans="1:79" x14ac:dyDescent="0.2">
      <c r="A3" s="2" t="s">
        <v>1</v>
      </c>
      <c r="B3" s="7"/>
      <c r="C3" s="10"/>
      <c r="D3" s="10"/>
      <c r="E3" s="10"/>
      <c r="F3" s="10"/>
      <c r="G3" s="10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79" x14ac:dyDescent="0.2">
      <c r="A4" s="9"/>
      <c r="B4" s="7"/>
      <c r="C4" s="10"/>
      <c r="D4" s="10"/>
      <c r="E4" s="10"/>
      <c r="F4" s="10"/>
      <c r="G4" s="10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79" x14ac:dyDescent="0.2">
      <c r="A5" s="19"/>
      <c r="B5" s="106" t="s">
        <v>2</v>
      </c>
      <c r="C5" s="107">
        <v>2011</v>
      </c>
      <c r="D5" s="107">
        <v>2012</v>
      </c>
      <c r="E5" s="107">
        <v>2013</v>
      </c>
      <c r="F5" s="107">
        <v>2014</v>
      </c>
      <c r="G5" s="107">
        <v>2015</v>
      </c>
      <c r="H5" s="107">
        <v>2016</v>
      </c>
      <c r="I5" s="107">
        <v>2017</v>
      </c>
      <c r="J5" s="107">
        <v>2018</v>
      </c>
      <c r="K5" s="107">
        <v>2019</v>
      </c>
      <c r="L5" s="107">
        <v>2020</v>
      </c>
      <c r="M5" s="107">
        <v>2021</v>
      </c>
      <c r="N5" s="107">
        <v>2022</v>
      </c>
      <c r="O5" s="107">
        <v>2023</v>
      </c>
      <c r="P5" s="107">
        <v>2024</v>
      </c>
      <c r="Q5" s="107">
        <v>2025</v>
      </c>
      <c r="R5" s="108"/>
      <c r="S5" s="109" t="s">
        <v>47</v>
      </c>
      <c r="T5" s="109" t="s">
        <v>48</v>
      </c>
      <c r="U5" s="109" t="s">
        <v>49</v>
      </c>
      <c r="V5" s="109" t="s">
        <v>50</v>
      </c>
      <c r="W5" s="109" t="s">
        <v>51</v>
      </c>
      <c r="X5" s="109" t="s">
        <v>52</v>
      </c>
      <c r="Y5" s="109" t="s">
        <v>53</v>
      </c>
      <c r="Z5" s="109" t="s">
        <v>54</v>
      </c>
      <c r="AA5" s="109" t="s">
        <v>55</v>
      </c>
      <c r="AB5" s="109" t="s">
        <v>56</v>
      </c>
      <c r="AC5" s="109" t="s">
        <v>57</v>
      </c>
      <c r="AD5" s="109" t="s">
        <v>58</v>
      </c>
      <c r="AE5" s="109" t="s">
        <v>59</v>
      </c>
      <c r="AF5" s="109" t="s">
        <v>60</v>
      </c>
      <c r="AG5" s="109" t="s">
        <v>61</v>
      </c>
      <c r="AH5" s="109" t="s">
        <v>62</v>
      </c>
      <c r="AI5" s="109" t="s">
        <v>63</v>
      </c>
      <c r="AJ5" s="109" t="s">
        <v>64</v>
      </c>
      <c r="AK5" s="109" t="s">
        <v>65</v>
      </c>
      <c r="AL5" s="109" t="s">
        <v>66</v>
      </c>
      <c r="AM5" s="109" t="s">
        <v>67</v>
      </c>
      <c r="AN5" s="109" t="s">
        <v>68</v>
      </c>
      <c r="AO5" s="109" t="s">
        <v>69</v>
      </c>
      <c r="AP5" s="109" t="s">
        <v>70</v>
      </c>
      <c r="AQ5" s="109" t="s">
        <v>71</v>
      </c>
      <c r="AR5" s="109" t="s">
        <v>72</v>
      </c>
      <c r="AS5" s="109" t="s">
        <v>73</v>
      </c>
      <c r="AT5" s="109" t="s">
        <v>74</v>
      </c>
      <c r="AU5" s="109" t="s">
        <v>75</v>
      </c>
      <c r="AV5" s="109" t="s">
        <v>76</v>
      </c>
      <c r="AW5" s="109" t="s">
        <v>77</v>
      </c>
      <c r="AX5" s="109" t="s">
        <v>78</v>
      </c>
      <c r="AY5" s="109" t="s">
        <v>79</v>
      </c>
      <c r="AZ5" s="109" t="s">
        <v>80</v>
      </c>
      <c r="BA5" s="109" t="s">
        <v>81</v>
      </c>
      <c r="BB5" s="109" t="s">
        <v>82</v>
      </c>
      <c r="BC5" s="109" t="s">
        <v>83</v>
      </c>
      <c r="BD5" s="109" t="s">
        <v>84</v>
      </c>
      <c r="BE5" s="109" t="s">
        <v>85</v>
      </c>
      <c r="BF5" s="109" t="s">
        <v>86</v>
      </c>
      <c r="BG5" s="109" t="s">
        <v>87</v>
      </c>
      <c r="BH5" s="109" t="s">
        <v>88</v>
      </c>
      <c r="BI5" s="109" t="s">
        <v>89</v>
      </c>
      <c r="BJ5" s="109" t="s">
        <v>90</v>
      </c>
      <c r="BK5" s="109" t="s">
        <v>276</v>
      </c>
      <c r="BL5" s="109" t="s">
        <v>277</v>
      </c>
      <c r="BM5" s="109" t="s">
        <v>283</v>
      </c>
      <c r="BN5" s="109" t="s">
        <v>284</v>
      </c>
      <c r="BO5" s="109" t="s">
        <v>290</v>
      </c>
      <c r="BP5" s="109" t="s">
        <v>291</v>
      </c>
      <c r="BQ5" s="109" t="s">
        <v>292</v>
      </c>
      <c r="BR5" s="109" t="s">
        <v>293</v>
      </c>
      <c r="BS5" s="109" t="s">
        <v>300</v>
      </c>
      <c r="BT5" s="109" t="s">
        <v>301</v>
      </c>
      <c r="BU5" s="109" t="s">
        <v>304</v>
      </c>
      <c r="BV5" s="109" t="s">
        <v>305</v>
      </c>
      <c r="BW5" s="109" t="s">
        <v>313</v>
      </c>
      <c r="BX5" s="109" t="s">
        <v>314</v>
      </c>
      <c r="BY5" s="109" t="s">
        <v>318</v>
      </c>
      <c r="BZ5" s="109" t="s">
        <v>319</v>
      </c>
      <c r="CA5" s="109" t="s">
        <v>325</v>
      </c>
    </row>
    <row r="6" spans="1:79" x14ac:dyDescent="0.2">
      <c r="A6" s="5" t="s">
        <v>26</v>
      </c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9"/>
      <c r="BL6" s="9"/>
      <c r="BM6" s="9"/>
      <c r="BT6" s="6"/>
      <c r="BU6" s="6"/>
      <c r="BV6" s="6"/>
    </row>
    <row r="7" spans="1:79" x14ac:dyDescent="0.2">
      <c r="A7" s="9" t="s">
        <v>27</v>
      </c>
      <c r="B7" s="7" t="s">
        <v>5</v>
      </c>
      <c r="C7" s="21">
        <f>SUM(S7:V7)</f>
        <v>18306</v>
      </c>
      <c r="D7" s="21">
        <f>SUM(W7:Z7)</f>
        <v>23739</v>
      </c>
      <c r="E7" s="21">
        <f>SUM(AA7:AD7)</f>
        <v>30227</v>
      </c>
      <c r="F7" s="21">
        <f>SUM(AE7:AH7)</f>
        <v>39961.02476</v>
      </c>
      <c r="G7" s="21">
        <f>SUM(AI7:AL7)</f>
        <v>35079.970713895411</v>
      </c>
      <c r="H7" s="21">
        <f>SUM(AM7:AP7)</f>
        <v>47444</v>
      </c>
      <c r="I7" s="21">
        <f>SUM(AQ7:AT7)</f>
        <v>50239.967601419994</v>
      </c>
      <c r="J7" s="21">
        <f>SUM(AU7:AX7)</f>
        <v>68731.252889259995</v>
      </c>
      <c r="K7" s="21">
        <f>SUM(AY7:BB7)</f>
        <v>77627.406625240008</v>
      </c>
      <c r="L7" s="21">
        <f>SUM(BC7:BF7)</f>
        <v>79922.186658060004</v>
      </c>
      <c r="M7" s="21">
        <f>SUM(BG7:BJ7)</f>
        <v>84387.993910000005</v>
      </c>
      <c r="N7" s="21">
        <f>SUM(BK7:BN7)</f>
        <v>58652</v>
      </c>
      <c r="O7" s="21">
        <f>SUM(BO7:BR7)</f>
        <v>105563.58845944001</v>
      </c>
      <c r="P7" s="21">
        <f>SUM(BS7:BV7)</f>
        <v>146241</v>
      </c>
      <c r="Q7" s="21">
        <f>SUM(BW7:BZ7)</f>
        <v>153538.43844214</v>
      </c>
      <c r="R7" s="9"/>
      <c r="S7" s="21">
        <v>4158</v>
      </c>
      <c r="T7" s="21">
        <v>3781</v>
      </c>
      <c r="U7" s="21">
        <v>4336</v>
      </c>
      <c r="V7" s="21">
        <v>6031</v>
      </c>
      <c r="W7" s="21">
        <v>5566</v>
      </c>
      <c r="X7" s="21">
        <v>5195</v>
      </c>
      <c r="Y7" s="21">
        <v>5563</v>
      </c>
      <c r="Z7" s="21">
        <v>7415</v>
      </c>
      <c r="AA7" s="21">
        <v>5923</v>
      </c>
      <c r="AB7" s="21">
        <v>6746</v>
      </c>
      <c r="AC7" s="21">
        <v>8152</v>
      </c>
      <c r="AD7" s="21">
        <v>9406</v>
      </c>
      <c r="AE7" s="21">
        <v>9076.8653331200003</v>
      </c>
      <c r="AF7" s="21">
        <v>8095.1199196799998</v>
      </c>
      <c r="AG7" s="21">
        <v>9480.1498460799994</v>
      </c>
      <c r="AH7" s="21">
        <v>13308.88966112</v>
      </c>
      <c r="AI7" s="21">
        <v>3803.6569252554141</v>
      </c>
      <c r="AJ7" s="21">
        <v>4109.9257364599998</v>
      </c>
      <c r="AK7" s="21">
        <v>11392.218554999999</v>
      </c>
      <c r="AL7" s="21">
        <v>15774.169497179999</v>
      </c>
      <c r="AM7" s="21">
        <v>12860</v>
      </c>
      <c r="AN7" s="21">
        <v>10284</v>
      </c>
      <c r="AO7" s="21">
        <v>10575</v>
      </c>
      <c r="AP7" s="21">
        <v>13725</v>
      </c>
      <c r="AQ7" s="21">
        <v>10248.314041999998</v>
      </c>
      <c r="AR7" s="21">
        <v>11346.0364044</v>
      </c>
      <c r="AS7" s="21">
        <v>11969.5977286</v>
      </c>
      <c r="AT7" s="21">
        <v>16676.01942642</v>
      </c>
      <c r="AU7" s="21">
        <v>13605.154832299999</v>
      </c>
      <c r="AV7" s="21">
        <v>13881.61159593</v>
      </c>
      <c r="AW7" s="21">
        <v>16798.903380110001</v>
      </c>
      <c r="AX7" s="21">
        <v>24445.583080919998</v>
      </c>
      <c r="AY7" s="21">
        <v>19952.326535439999</v>
      </c>
      <c r="AZ7" s="21">
        <v>18782.154632410005</v>
      </c>
      <c r="BA7" s="21">
        <v>17098.350112380002</v>
      </c>
      <c r="BB7" s="21">
        <v>21794.575345010002</v>
      </c>
      <c r="BC7" s="21">
        <v>17936.319566999999</v>
      </c>
      <c r="BD7" s="21">
        <v>11585.362794000001</v>
      </c>
      <c r="BE7" s="21">
        <v>23982.568796</v>
      </c>
      <c r="BF7" s="21">
        <v>26417.935501060001</v>
      </c>
      <c r="BG7" s="20">
        <v>16214.395377000001</v>
      </c>
      <c r="BH7" s="20">
        <v>24932.598533</v>
      </c>
      <c r="BI7" s="20">
        <v>18390</v>
      </c>
      <c r="BJ7" s="20">
        <v>24851</v>
      </c>
      <c r="BK7" s="20">
        <v>19681</v>
      </c>
      <c r="BL7" s="20">
        <v>9638</v>
      </c>
      <c r="BM7" s="20">
        <v>13329</v>
      </c>
      <c r="BN7" s="20">
        <v>16004</v>
      </c>
      <c r="BO7" s="20">
        <v>13436.384795000002</v>
      </c>
      <c r="BP7" s="20">
        <v>20566.103885999997</v>
      </c>
      <c r="BQ7" s="20">
        <v>31169.099778440002</v>
      </c>
      <c r="BR7" s="65">
        <v>40392</v>
      </c>
      <c r="BS7" s="65">
        <v>40965</v>
      </c>
      <c r="BT7" s="65">
        <v>37627</v>
      </c>
      <c r="BU7" s="65">
        <f>36948</f>
        <v>36948</v>
      </c>
      <c r="BV7" s="65">
        <f>30701</f>
        <v>30701</v>
      </c>
      <c r="BW7" s="65">
        <v>37377.266451999996</v>
      </c>
      <c r="BX7" s="65">
        <v>24823.707968999999</v>
      </c>
      <c r="BY7" s="65">
        <v>46854.62423406</v>
      </c>
      <c r="BZ7" s="65">
        <v>44482.839787079996</v>
      </c>
      <c r="CA7" s="65">
        <f>24653</f>
        <v>24653</v>
      </c>
    </row>
    <row r="8" spans="1:79" x14ac:dyDescent="0.2">
      <c r="A8" s="9" t="s">
        <v>28</v>
      </c>
      <c r="B8" s="7" t="s">
        <v>5</v>
      </c>
      <c r="C8" s="21"/>
      <c r="D8" s="21"/>
      <c r="E8" s="21">
        <f>SUM(AA8:AD8)</f>
        <v>26073</v>
      </c>
      <c r="F8" s="21">
        <f>SUM(AE8:AH8)</f>
        <v>35335</v>
      </c>
      <c r="G8" s="21">
        <f>SUM(AI8:AL8)</f>
        <v>25845</v>
      </c>
      <c r="H8" s="21">
        <f>SUM(AM8:AP8)</f>
        <v>39723.422637700001</v>
      </c>
      <c r="I8" s="21">
        <f>SUM(AQ8:AT8)</f>
        <v>46146.695167350001</v>
      </c>
      <c r="J8" s="21">
        <f>SUM(AU8:AX8)</f>
        <v>62785.436452919996</v>
      </c>
      <c r="K8" s="21">
        <f>SUM(AY8:BB8)</f>
        <v>77713.387916539999</v>
      </c>
      <c r="L8" s="21">
        <f>SUM(BC8:BF8)</f>
        <v>81985.030014120013</v>
      </c>
      <c r="M8" s="21">
        <f>SUM(BG8:BJ8)</f>
        <v>84093.78253756999</v>
      </c>
      <c r="N8" s="21">
        <f t="shared" ref="N8:N18" si="0">SUM(BK8:BN8)</f>
        <v>60386</v>
      </c>
      <c r="O8" s="21">
        <f>SUM(BO8:BR8)</f>
        <v>82107.948539289995</v>
      </c>
      <c r="P8" s="21">
        <v>95575</v>
      </c>
      <c r="Q8" s="21">
        <f>100507</f>
        <v>100507</v>
      </c>
      <c r="R8" s="9"/>
      <c r="S8" s="21"/>
      <c r="T8" s="21"/>
      <c r="U8" s="21"/>
      <c r="V8" s="21"/>
      <c r="W8" s="21"/>
      <c r="X8" s="21"/>
      <c r="Y8" s="21"/>
      <c r="Z8" s="21"/>
      <c r="AA8" s="21">
        <v>5237</v>
      </c>
      <c r="AB8" s="21">
        <v>5703</v>
      </c>
      <c r="AC8" s="21">
        <v>6769</v>
      </c>
      <c r="AD8" s="21">
        <v>8364</v>
      </c>
      <c r="AE8" s="21">
        <v>9088</v>
      </c>
      <c r="AF8" s="21">
        <v>5747</v>
      </c>
      <c r="AG8" s="21">
        <v>9012</v>
      </c>
      <c r="AH8" s="21">
        <v>11488</v>
      </c>
      <c r="AI8" s="21">
        <v>6003</v>
      </c>
      <c r="AJ8" s="21">
        <v>4412</v>
      </c>
      <c r="AK8" s="21">
        <v>5798</v>
      </c>
      <c r="AL8" s="21">
        <v>9632</v>
      </c>
      <c r="AM8" s="21">
        <v>10570.772917070002</v>
      </c>
      <c r="AN8" s="21">
        <v>9286</v>
      </c>
      <c r="AO8" s="21">
        <v>8743.8683072799995</v>
      </c>
      <c r="AP8" s="21">
        <v>11122.78141335</v>
      </c>
      <c r="AQ8" s="21">
        <v>9714.1392184200031</v>
      </c>
      <c r="AR8" s="21">
        <v>9282.8890235700001</v>
      </c>
      <c r="AS8" s="21">
        <v>12432.99312372</v>
      </c>
      <c r="AT8" s="21">
        <v>14716.673801640001</v>
      </c>
      <c r="AU8" s="21">
        <v>12777.758215059999</v>
      </c>
      <c r="AV8" s="21">
        <v>14693.6143854</v>
      </c>
      <c r="AW8" s="21">
        <v>15010.584524129999</v>
      </c>
      <c r="AX8" s="21">
        <v>20303.479328329999</v>
      </c>
      <c r="AY8" s="21">
        <v>23631.847321820002</v>
      </c>
      <c r="AZ8" s="21">
        <v>19176.827587320004</v>
      </c>
      <c r="BA8" s="21">
        <v>16114.074190339999</v>
      </c>
      <c r="BB8" s="21">
        <v>18790.638817060004</v>
      </c>
      <c r="BC8" s="21">
        <v>17604.427967750002</v>
      </c>
      <c r="BD8" s="21">
        <v>13942.190508559999</v>
      </c>
      <c r="BE8" s="21">
        <v>21235.062525180001</v>
      </c>
      <c r="BF8" s="21">
        <v>29203.349012630002</v>
      </c>
      <c r="BG8" s="20">
        <v>18036.233013270001</v>
      </c>
      <c r="BH8" s="20">
        <v>22852.549524299997</v>
      </c>
      <c r="BI8" s="20">
        <v>19308</v>
      </c>
      <c r="BJ8" s="20">
        <v>23897</v>
      </c>
      <c r="BK8" s="20">
        <v>21235</v>
      </c>
      <c r="BL8" s="20">
        <v>11402</v>
      </c>
      <c r="BM8" s="20">
        <v>11170</v>
      </c>
      <c r="BN8" s="20">
        <v>16579</v>
      </c>
      <c r="BO8" s="20">
        <v>12000.56727009</v>
      </c>
      <c r="BP8" s="20">
        <v>16208.977656510002</v>
      </c>
      <c r="BQ8" s="20">
        <v>24684.403612690003</v>
      </c>
      <c r="BR8" s="65">
        <v>29214</v>
      </c>
      <c r="BS8" s="65">
        <f>21587</f>
        <v>21587</v>
      </c>
      <c r="BT8" s="65">
        <f>27201</f>
        <v>27201</v>
      </c>
      <c r="BU8" s="65">
        <f>24560</f>
        <v>24560</v>
      </c>
      <c r="BV8" s="65">
        <f>22226</f>
        <v>22226</v>
      </c>
      <c r="BW8" s="65">
        <f>18096</f>
        <v>18096</v>
      </c>
      <c r="BX8" s="65">
        <f>21530</f>
        <v>21530</v>
      </c>
      <c r="BY8" s="65">
        <f>20125</f>
        <v>20125</v>
      </c>
      <c r="BZ8" s="65">
        <f>40757</f>
        <v>40757</v>
      </c>
      <c r="CA8" s="65">
        <f>26599</f>
        <v>26599</v>
      </c>
    </row>
    <row r="9" spans="1:79" x14ac:dyDescent="0.2">
      <c r="A9" s="9" t="s">
        <v>29</v>
      </c>
      <c r="B9" s="7" t="s">
        <v>30</v>
      </c>
      <c r="C9" s="21">
        <v>67797</v>
      </c>
      <c r="D9" s="21">
        <v>75013</v>
      </c>
      <c r="E9" s="21">
        <v>84889</v>
      </c>
      <c r="F9" s="21">
        <v>87431</v>
      </c>
      <c r="G9" s="21">
        <v>91057.20360523343</v>
      </c>
      <c r="H9" s="21">
        <v>95649.762108517301</v>
      </c>
      <c r="I9" s="21">
        <v>98094.123288225688</v>
      </c>
      <c r="J9" s="21">
        <v>109445.30457033213</v>
      </c>
      <c r="K9" s="21">
        <v>123140.09552653086</v>
      </c>
      <c r="L9" s="21">
        <v>148500.69067665632</v>
      </c>
      <c r="M9" s="21">
        <v>189008.00940000001</v>
      </c>
      <c r="N9" s="21">
        <v>198413</v>
      </c>
      <c r="O9" s="21">
        <v>192904</v>
      </c>
      <c r="P9" s="21">
        <f>208928</f>
        <v>208928</v>
      </c>
      <c r="Q9" s="21">
        <f>228672</f>
        <v>228672</v>
      </c>
      <c r="R9" s="9"/>
      <c r="S9" s="21">
        <v>69721</v>
      </c>
      <c r="T9" s="21">
        <v>60453</v>
      </c>
      <c r="U9" s="21">
        <v>68030</v>
      </c>
      <c r="V9" s="21">
        <v>71718</v>
      </c>
      <c r="W9" s="21">
        <v>71611</v>
      </c>
      <c r="X9" s="21">
        <v>75120</v>
      </c>
      <c r="Y9" s="21">
        <v>74073</v>
      </c>
      <c r="Z9" s="21">
        <v>78484</v>
      </c>
      <c r="AA9" s="21">
        <v>80606</v>
      </c>
      <c r="AB9" s="21">
        <v>81102</v>
      </c>
      <c r="AC9" s="21">
        <v>87800</v>
      </c>
      <c r="AD9" s="21">
        <v>85667</v>
      </c>
      <c r="AE9" s="21">
        <v>83228.279413133379</v>
      </c>
      <c r="AF9" s="21">
        <v>85288.692095209277</v>
      </c>
      <c r="AG9" s="21">
        <v>89402.153728722871</v>
      </c>
      <c r="AH9" s="21">
        <v>90510.557914723904</v>
      </c>
      <c r="AI9" s="21">
        <v>80946.282812226491</v>
      </c>
      <c r="AJ9" s="21">
        <v>97918.322170442902</v>
      </c>
      <c r="AK9" s="21">
        <v>93746.002211283601</v>
      </c>
      <c r="AL9" s="21">
        <v>90258.314857375255</v>
      </c>
      <c r="AM9" s="21">
        <v>95254</v>
      </c>
      <c r="AN9" s="21">
        <v>102223</v>
      </c>
      <c r="AO9" s="21">
        <v>99144</v>
      </c>
      <c r="AP9" s="21">
        <v>89272</v>
      </c>
      <c r="AQ9" s="21">
        <v>90177.794240254676</v>
      </c>
      <c r="AR9" s="21">
        <v>92675.773665021043</v>
      </c>
      <c r="AS9" s="21">
        <v>105015.44777916004</v>
      </c>
      <c r="AT9" s="21">
        <v>102869.44993975338</v>
      </c>
      <c r="AU9" s="21">
        <v>101473.95361667546</v>
      </c>
      <c r="AV9" s="21">
        <v>108055.02285767831</v>
      </c>
      <c r="AW9" s="21">
        <v>109015.40579162672</v>
      </c>
      <c r="AX9" s="21">
        <v>115660.46550332049</v>
      </c>
      <c r="AY9" s="21">
        <v>118796.12844466366</v>
      </c>
      <c r="AZ9" s="21">
        <v>121758.63498952119</v>
      </c>
      <c r="BA9" s="21">
        <v>125118.06952713689</v>
      </c>
      <c r="BB9" s="21">
        <v>127060.01614186288</v>
      </c>
      <c r="BC9" s="21">
        <v>142384.42321047024</v>
      </c>
      <c r="BD9" s="21">
        <v>121971.44740463202</v>
      </c>
      <c r="BE9" s="21">
        <v>159404.83358335987</v>
      </c>
      <c r="BF9" s="21">
        <v>158392.26542298836</v>
      </c>
      <c r="BG9" s="20">
        <v>164329.03697465188</v>
      </c>
      <c r="BH9" s="20">
        <v>203915.04321517842</v>
      </c>
      <c r="BI9" s="20">
        <v>190633</v>
      </c>
      <c r="BJ9" s="20">
        <v>192538</v>
      </c>
      <c r="BK9" s="20">
        <v>217611</v>
      </c>
      <c r="BL9" s="20">
        <v>181732</v>
      </c>
      <c r="BM9" s="20">
        <v>198985</v>
      </c>
      <c r="BN9" s="20">
        <v>195324</v>
      </c>
      <c r="BO9" s="20">
        <v>182478.08071313796</v>
      </c>
      <c r="BP9" s="20">
        <v>185870.63073595663</v>
      </c>
      <c r="BQ9" s="20">
        <v>199371.19042391944</v>
      </c>
      <c r="BR9" s="65">
        <v>195493</v>
      </c>
      <c r="BS9" s="65">
        <v>216512</v>
      </c>
      <c r="BT9" s="65">
        <v>192020.80584774294</v>
      </c>
      <c r="BU9" s="65">
        <f>234799</f>
        <v>234799</v>
      </c>
      <c r="BV9" s="65">
        <f>195000</f>
        <v>195000</v>
      </c>
      <c r="BW9" s="65">
        <f>194595</f>
        <v>194595</v>
      </c>
      <c r="BX9" s="65">
        <f>239432</f>
        <v>239432</v>
      </c>
      <c r="BY9" s="65">
        <f>267395</f>
        <v>267395</v>
      </c>
      <c r="BZ9" s="65">
        <f>221909</f>
        <v>221909</v>
      </c>
      <c r="CA9" s="65">
        <f>274004</f>
        <v>274004</v>
      </c>
    </row>
    <row r="10" spans="1:79" x14ac:dyDescent="0.2">
      <c r="A10" s="22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9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0"/>
      <c r="BH10" s="20"/>
      <c r="BI10" s="20"/>
      <c r="BJ10" s="20"/>
      <c r="BK10" s="9"/>
      <c r="BL10" s="9"/>
      <c r="BM10" s="9"/>
      <c r="BN10" s="9"/>
      <c r="BO10" s="9"/>
      <c r="BP10" s="9"/>
      <c r="BQ10" s="9"/>
      <c r="BT10" s="6"/>
      <c r="BU10" s="6"/>
      <c r="BV10" s="65"/>
      <c r="BW10" s="65"/>
      <c r="BX10" s="65"/>
      <c r="BY10" s="65"/>
      <c r="BZ10" s="65"/>
      <c r="CA10" s="65"/>
    </row>
    <row r="11" spans="1:79" x14ac:dyDescent="0.2">
      <c r="A11" s="5" t="s">
        <v>31</v>
      </c>
      <c r="B11" s="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9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0"/>
      <c r="BH11" s="20"/>
      <c r="BI11" s="20"/>
      <c r="BJ11" s="20"/>
      <c r="BK11" s="9"/>
      <c r="BL11" s="9"/>
      <c r="BM11" s="9"/>
      <c r="BN11" s="9"/>
      <c r="BO11" s="9"/>
      <c r="BP11" s="9"/>
      <c r="BQ11" s="9"/>
      <c r="BT11" s="6"/>
      <c r="BU11" s="6"/>
      <c r="BV11" s="65"/>
      <c r="BW11" s="65"/>
      <c r="BX11" s="65"/>
      <c r="BY11" s="65"/>
      <c r="BZ11" s="65"/>
      <c r="CA11" s="65"/>
    </row>
    <row r="12" spans="1:79" x14ac:dyDescent="0.2">
      <c r="A12" s="9" t="s">
        <v>32</v>
      </c>
      <c r="B12" s="7" t="s">
        <v>33</v>
      </c>
      <c r="C12" s="21">
        <v>4192</v>
      </c>
      <c r="D12" s="21">
        <f>SUM(W12:Z12)</f>
        <v>5797</v>
      </c>
      <c r="E12" s="21">
        <f>SUM(AA12:AD12)</f>
        <v>6876</v>
      </c>
      <c r="F12" s="21">
        <f>SUM(AE12:AH12)</f>
        <v>9045</v>
      </c>
      <c r="G12" s="21">
        <f>SUM(AI12:AL12)</f>
        <v>7841</v>
      </c>
      <c r="H12" s="21">
        <f>SUM(AM12:AP12)</f>
        <v>9590</v>
      </c>
      <c r="I12" s="21">
        <f>SUM(AQ12:AT12)</f>
        <v>9916</v>
      </c>
      <c r="J12" s="21">
        <f>SUM(AU12:AX12)</f>
        <v>12312</v>
      </c>
      <c r="K12" s="21">
        <f>SUM(AY12:BB12)</f>
        <v>12040</v>
      </c>
      <c r="L12" s="21">
        <f>SUM(BC12:BF12)</f>
        <v>9725</v>
      </c>
      <c r="M12" s="21">
        <f>SUM(BG12:BJ12)</f>
        <v>8560</v>
      </c>
      <c r="N12" s="21">
        <f t="shared" si="0"/>
        <v>6457</v>
      </c>
      <c r="O12" s="21">
        <f>SUM(BO12:BR12)</f>
        <v>11689</v>
      </c>
      <c r="P12" s="21">
        <f>SUM(BS12:BV12)</f>
        <v>14304</v>
      </c>
      <c r="Q12" s="21">
        <f>12509</f>
        <v>12509</v>
      </c>
      <c r="R12" s="9"/>
      <c r="S12" s="21"/>
      <c r="T12" s="21"/>
      <c r="U12" s="21"/>
      <c r="V12" s="21"/>
      <c r="W12" s="21">
        <v>1338</v>
      </c>
      <c r="X12" s="21">
        <v>1235</v>
      </c>
      <c r="Y12" s="21">
        <v>1390</v>
      </c>
      <c r="Z12" s="21">
        <v>1834</v>
      </c>
      <c r="AA12" s="21">
        <v>1454</v>
      </c>
      <c r="AB12" s="21">
        <v>1548</v>
      </c>
      <c r="AC12" s="21">
        <v>1752</v>
      </c>
      <c r="AD12" s="21">
        <v>2122</v>
      </c>
      <c r="AE12" s="21">
        <v>2300</v>
      </c>
      <c r="AF12" s="21">
        <v>2033</v>
      </c>
      <c r="AG12" s="21">
        <v>1960</v>
      </c>
      <c r="AH12" s="21">
        <v>2752</v>
      </c>
      <c r="AI12" s="21">
        <v>1028</v>
      </c>
      <c r="AJ12" s="21">
        <v>831</v>
      </c>
      <c r="AK12" s="21">
        <v>2525</v>
      </c>
      <c r="AL12" s="21">
        <v>3457</v>
      </c>
      <c r="AM12" s="21">
        <v>2634</v>
      </c>
      <c r="AN12" s="21">
        <v>1886</v>
      </c>
      <c r="AO12" s="21">
        <v>2069</v>
      </c>
      <c r="AP12" s="21">
        <v>3001</v>
      </c>
      <c r="AQ12" s="21">
        <v>2082</v>
      </c>
      <c r="AR12" s="21">
        <v>2321</v>
      </c>
      <c r="AS12" s="21">
        <v>2331</v>
      </c>
      <c r="AT12" s="21">
        <v>3182</v>
      </c>
      <c r="AU12" s="21">
        <v>2573</v>
      </c>
      <c r="AV12" s="21">
        <v>2532</v>
      </c>
      <c r="AW12" s="21">
        <v>2962</v>
      </c>
      <c r="AX12" s="21">
        <v>4245</v>
      </c>
      <c r="AY12" s="21">
        <v>3470</v>
      </c>
      <c r="AZ12" s="21">
        <v>3060</v>
      </c>
      <c r="BA12" s="21">
        <v>2579</v>
      </c>
      <c r="BB12" s="21">
        <v>2931</v>
      </c>
      <c r="BC12" s="21">
        <v>2323</v>
      </c>
      <c r="BD12" s="21">
        <v>1559</v>
      </c>
      <c r="BE12" s="21">
        <v>2706</v>
      </c>
      <c r="BF12" s="21">
        <v>3137</v>
      </c>
      <c r="BG12" s="20">
        <v>1989</v>
      </c>
      <c r="BH12" s="20">
        <v>2297</v>
      </c>
      <c r="BI12" s="20">
        <v>1869</v>
      </c>
      <c r="BJ12" s="20">
        <v>2405</v>
      </c>
      <c r="BK12" s="20">
        <v>1899</v>
      </c>
      <c r="BL12" s="20">
        <v>1216</v>
      </c>
      <c r="BM12" s="20">
        <v>1572</v>
      </c>
      <c r="BN12" s="20">
        <v>1770</v>
      </c>
      <c r="BO12" s="20">
        <v>1555</v>
      </c>
      <c r="BP12" s="20">
        <v>2265</v>
      </c>
      <c r="BQ12" s="20">
        <v>3343</v>
      </c>
      <c r="BR12" s="65">
        <v>4526</v>
      </c>
      <c r="BS12" s="65">
        <v>3816</v>
      </c>
      <c r="BT12" s="65">
        <v>3643</v>
      </c>
      <c r="BU12" s="65">
        <f>3368</f>
        <v>3368</v>
      </c>
      <c r="BV12" s="65">
        <f>3477</f>
        <v>3477</v>
      </c>
      <c r="BW12" s="65">
        <f>4075</f>
        <v>4075</v>
      </c>
      <c r="BX12" s="65">
        <f>2479</f>
        <v>2479</v>
      </c>
      <c r="BY12" s="65">
        <f>2772</f>
        <v>2772</v>
      </c>
      <c r="BZ12" s="65">
        <f>3183</f>
        <v>3183</v>
      </c>
      <c r="CA12" s="65">
        <f>1679</f>
        <v>1679</v>
      </c>
    </row>
    <row r="13" spans="1:79" x14ac:dyDescent="0.2">
      <c r="A13" s="9" t="s">
        <v>34</v>
      </c>
      <c r="B13" s="7"/>
      <c r="C13" s="21"/>
      <c r="D13" s="21">
        <f>SUM(W13:Z13)</f>
        <v>794</v>
      </c>
      <c r="E13" s="21">
        <f>SUM(AA13:AD13)</f>
        <v>1415</v>
      </c>
      <c r="F13" s="21">
        <f>SUM(AE13:AH13)</f>
        <v>2026</v>
      </c>
      <c r="G13" s="21">
        <f>SUM(AI13:AL13)</f>
        <v>1184</v>
      </c>
      <c r="H13" s="21">
        <f>SUM(AM13:AP13)</f>
        <v>2047</v>
      </c>
      <c r="I13" s="21">
        <f>SUM(AQ13:AT13)</f>
        <v>3357</v>
      </c>
      <c r="J13" s="21">
        <f>SUM(AU13:AX13)</f>
        <v>5027</v>
      </c>
      <c r="K13" s="21">
        <f>SUM(AY13:BB13)</f>
        <v>4336</v>
      </c>
      <c r="L13" s="21">
        <f>SUM(BC13:BF13)</f>
        <v>4168</v>
      </c>
      <c r="M13" s="21">
        <f>SUM(BG13:BJ13)</f>
        <v>3499</v>
      </c>
      <c r="N13" s="21">
        <f t="shared" si="0"/>
        <v>2531</v>
      </c>
      <c r="O13" s="21">
        <f>SUM(BO13:BR13)</f>
        <v>5818</v>
      </c>
      <c r="P13" s="21">
        <f>SUM(BS13:BV13)</f>
        <v>4229</v>
      </c>
      <c r="Q13" s="21">
        <f>2613</f>
        <v>2613</v>
      </c>
      <c r="R13" s="9"/>
      <c r="S13" s="110"/>
      <c r="T13" s="110"/>
      <c r="U13" s="110"/>
      <c r="V13" s="110"/>
      <c r="W13" s="110">
        <v>140</v>
      </c>
      <c r="X13" s="110">
        <v>137</v>
      </c>
      <c r="Y13" s="110">
        <v>188</v>
      </c>
      <c r="Z13" s="110">
        <v>329</v>
      </c>
      <c r="AA13" s="110">
        <v>255</v>
      </c>
      <c r="AB13" s="110">
        <v>362</v>
      </c>
      <c r="AC13" s="110">
        <v>368</v>
      </c>
      <c r="AD13" s="110">
        <v>430</v>
      </c>
      <c r="AE13" s="110">
        <v>396</v>
      </c>
      <c r="AF13" s="110">
        <v>464</v>
      </c>
      <c r="AG13" s="110">
        <v>542</v>
      </c>
      <c r="AH13" s="110">
        <v>624</v>
      </c>
      <c r="AI13" s="110">
        <v>115</v>
      </c>
      <c r="AJ13" s="110">
        <v>167</v>
      </c>
      <c r="AK13" s="110">
        <v>376</v>
      </c>
      <c r="AL13" s="110">
        <v>526</v>
      </c>
      <c r="AM13" s="110">
        <v>519</v>
      </c>
      <c r="AN13" s="110">
        <v>391</v>
      </c>
      <c r="AO13" s="110">
        <v>449</v>
      </c>
      <c r="AP13" s="110">
        <v>688</v>
      </c>
      <c r="AQ13" s="110">
        <v>466</v>
      </c>
      <c r="AR13" s="110">
        <v>771</v>
      </c>
      <c r="AS13" s="110">
        <v>817</v>
      </c>
      <c r="AT13" s="110">
        <v>1303</v>
      </c>
      <c r="AU13" s="110">
        <v>1018</v>
      </c>
      <c r="AV13" s="110">
        <v>1052</v>
      </c>
      <c r="AW13" s="110">
        <v>1203</v>
      </c>
      <c r="AX13" s="110">
        <v>1754</v>
      </c>
      <c r="AY13" s="110">
        <v>1281</v>
      </c>
      <c r="AZ13" s="110">
        <v>1094</v>
      </c>
      <c r="BA13" s="110">
        <v>930</v>
      </c>
      <c r="BB13" s="110">
        <v>1031</v>
      </c>
      <c r="BC13" s="110">
        <v>830</v>
      </c>
      <c r="BD13" s="110">
        <v>686</v>
      </c>
      <c r="BE13" s="110">
        <v>1260</v>
      </c>
      <c r="BF13" s="110">
        <v>1392</v>
      </c>
      <c r="BG13" s="110">
        <v>730</v>
      </c>
      <c r="BH13" s="20">
        <v>1077</v>
      </c>
      <c r="BI13" s="20">
        <v>734</v>
      </c>
      <c r="BJ13" s="20">
        <v>958</v>
      </c>
      <c r="BK13" s="20">
        <v>622</v>
      </c>
      <c r="BL13" s="20">
        <v>299</v>
      </c>
      <c r="BM13" s="20">
        <v>580</v>
      </c>
      <c r="BN13" s="20">
        <v>1030</v>
      </c>
      <c r="BO13" s="20">
        <v>733</v>
      </c>
      <c r="BP13" s="20">
        <v>1134</v>
      </c>
      <c r="BQ13" s="20">
        <v>1638</v>
      </c>
      <c r="BR13" s="65">
        <v>2313</v>
      </c>
      <c r="BS13" s="65">
        <v>939</v>
      </c>
      <c r="BT13" s="65">
        <v>1637</v>
      </c>
      <c r="BU13" s="65">
        <f>992</f>
        <v>992</v>
      </c>
      <c r="BV13" s="65">
        <f>661</f>
        <v>661</v>
      </c>
      <c r="BW13" s="65">
        <v>654</v>
      </c>
      <c r="BX13" s="65">
        <f>782</f>
        <v>782</v>
      </c>
      <c r="BY13" s="65">
        <f>609</f>
        <v>609</v>
      </c>
      <c r="BZ13" s="65">
        <f>640</f>
        <v>640</v>
      </c>
      <c r="CA13" s="65">
        <f>498</f>
        <v>498</v>
      </c>
    </row>
    <row r="14" spans="1:79" x14ac:dyDescent="0.2">
      <c r="A14" s="9" t="s">
        <v>35</v>
      </c>
      <c r="B14" s="111" t="s">
        <v>36</v>
      </c>
      <c r="C14" s="21"/>
      <c r="D14" s="21">
        <f>D13/D12*100</f>
        <v>13.696739692944625</v>
      </c>
      <c r="E14" s="21">
        <f t="shared" ref="E14:L14" si="1">E13/E12*100</f>
        <v>20.578824898196626</v>
      </c>
      <c r="F14" s="21">
        <f t="shared" si="1"/>
        <v>22.39911553344389</v>
      </c>
      <c r="G14" s="21">
        <f t="shared" si="1"/>
        <v>15.100114781277899</v>
      </c>
      <c r="H14" s="21">
        <f t="shared" si="1"/>
        <v>21.345151199165798</v>
      </c>
      <c r="I14" s="21">
        <f t="shared" si="1"/>
        <v>33.854376764824529</v>
      </c>
      <c r="J14" s="21">
        <f t="shared" si="1"/>
        <v>40.830084470435345</v>
      </c>
      <c r="K14" s="21">
        <f t="shared" si="1"/>
        <v>36.013289036544847</v>
      </c>
      <c r="L14" s="21">
        <f t="shared" si="1"/>
        <v>42.858611825192803</v>
      </c>
      <c r="M14" s="21">
        <f>M13/M12*100</f>
        <v>40.876168224299064</v>
      </c>
      <c r="N14" s="21">
        <f>N13/N12*100</f>
        <v>39.197769862165096</v>
      </c>
      <c r="O14" s="21">
        <f>O13/O12*100</f>
        <v>49.77329112841133</v>
      </c>
      <c r="P14" s="21">
        <f>P13/P12*100</f>
        <v>29.565156599552573</v>
      </c>
      <c r="Q14" s="21">
        <f>21</f>
        <v>21</v>
      </c>
      <c r="R14" s="9"/>
      <c r="S14" s="110">
        <v>6</v>
      </c>
      <c r="T14" s="110">
        <v>11</v>
      </c>
      <c r="U14" s="110">
        <v>7.0000000000000009</v>
      </c>
      <c r="V14" s="110">
        <v>16</v>
      </c>
      <c r="W14" s="110">
        <v>10</v>
      </c>
      <c r="X14" s="110">
        <v>10</v>
      </c>
      <c r="Y14" s="110">
        <v>13</v>
      </c>
      <c r="Z14" s="110">
        <v>18</v>
      </c>
      <c r="AA14" s="110">
        <v>18</v>
      </c>
      <c r="AB14" s="110">
        <v>24</v>
      </c>
      <c r="AC14" s="110">
        <v>21</v>
      </c>
      <c r="AD14" s="110">
        <v>20</v>
      </c>
      <c r="AE14" s="110">
        <v>17</v>
      </c>
      <c r="AF14" s="110">
        <v>23</v>
      </c>
      <c r="AG14" s="110">
        <v>28</v>
      </c>
      <c r="AH14" s="110">
        <v>23</v>
      </c>
      <c r="AI14" s="110">
        <v>11</v>
      </c>
      <c r="AJ14" s="110">
        <v>20</v>
      </c>
      <c r="AK14" s="110">
        <v>15</v>
      </c>
      <c r="AL14" s="110">
        <v>15</v>
      </c>
      <c r="AM14" s="110">
        <v>20</v>
      </c>
      <c r="AN14" s="110">
        <v>21</v>
      </c>
      <c r="AO14" s="110">
        <v>22</v>
      </c>
      <c r="AP14" s="110">
        <v>23</v>
      </c>
      <c r="AQ14" s="110">
        <v>22</v>
      </c>
      <c r="AR14" s="110">
        <v>33</v>
      </c>
      <c r="AS14" s="110">
        <v>35</v>
      </c>
      <c r="AT14" s="110">
        <v>41</v>
      </c>
      <c r="AU14" s="110">
        <v>40</v>
      </c>
      <c r="AV14" s="110">
        <v>42</v>
      </c>
      <c r="AW14" s="110">
        <v>41</v>
      </c>
      <c r="AX14" s="110">
        <v>41</v>
      </c>
      <c r="AY14" s="110">
        <v>37</v>
      </c>
      <c r="AZ14" s="110">
        <v>36</v>
      </c>
      <c r="BA14" s="110">
        <v>36</v>
      </c>
      <c r="BB14" s="110">
        <v>35</v>
      </c>
      <c r="BC14" s="110">
        <v>36</v>
      </c>
      <c r="BD14" s="110">
        <v>44</v>
      </c>
      <c r="BE14" s="110">
        <v>47</v>
      </c>
      <c r="BF14" s="110">
        <v>44</v>
      </c>
      <c r="BG14" s="110">
        <v>37</v>
      </c>
      <c r="BH14" s="20">
        <v>47</v>
      </c>
      <c r="BI14" s="20">
        <v>39</v>
      </c>
      <c r="BJ14" s="20">
        <v>40</v>
      </c>
      <c r="BK14" s="20">
        <v>33</v>
      </c>
      <c r="BL14" s="20">
        <v>25</v>
      </c>
      <c r="BM14" s="20">
        <v>37</v>
      </c>
      <c r="BN14" s="20">
        <v>58</v>
      </c>
      <c r="BO14" s="20">
        <v>47.138263665594856</v>
      </c>
      <c r="BP14" s="20">
        <v>50.066225165562919</v>
      </c>
      <c r="BQ14" s="20">
        <v>48.997906072390066</v>
      </c>
      <c r="BR14" s="65">
        <v>51</v>
      </c>
      <c r="BS14" s="65">
        <v>25</v>
      </c>
      <c r="BT14" s="65">
        <v>45</v>
      </c>
      <c r="BU14" s="65">
        <f>29</f>
        <v>29</v>
      </c>
      <c r="BV14" s="65">
        <f>19</f>
        <v>19</v>
      </c>
      <c r="BW14" s="65">
        <v>16</v>
      </c>
      <c r="BX14" s="65">
        <f>32</f>
        <v>32</v>
      </c>
      <c r="BY14" s="65">
        <f>22</f>
        <v>22</v>
      </c>
      <c r="BZ14" s="65">
        <f>20</f>
        <v>20</v>
      </c>
      <c r="CA14" s="65">
        <f>30</f>
        <v>30</v>
      </c>
    </row>
    <row r="15" spans="1:79" x14ac:dyDescent="0.2">
      <c r="A15" s="23"/>
      <c r="B15" s="7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9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0"/>
      <c r="BH15" s="20"/>
      <c r="BI15" s="20"/>
      <c r="BJ15" s="20"/>
      <c r="BK15" s="9"/>
      <c r="BL15" s="9"/>
      <c r="BM15" s="9"/>
      <c r="BN15" s="9"/>
      <c r="BO15" s="9"/>
      <c r="BP15" s="9"/>
      <c r="BQ15" s="9"/>
      <c r="BT15" s="6"/>
      <c r="BU15" s="6"/>
      <c r="BV15" s="65"/>
      <c r="BW15" s="65"/>
      <c r="BX15" s="65"/>
      <c r="BY15" s="65"/>
      <c r="BZ15" s="65"/>
      <c r="CA15" s="65"/>
    </row>
    <row r="16" spans="1:79" x14ac:dyDescent="0.2">
      <c r="A16" s="5" t="s">
        <v>91</v>
      </c>
      <c r="B16" s="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9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0"/>
      <c r="BH16" s="20"/>
      <c r="BI16" s="20"/>
      <c r="BJ16" s="20"/>
      <c r="BK16" s="9"/>
      <c r="BL16" s="9"/>
      <c r="BM16" s="9"/>
      <c r="BN16" s="9"/>
      <c r="BO16" s="9"/>
      <c r="BP16" s="9"/>
      <c r="BQ16" s="9"/>
      <c r="BT16" s="6"/>
      <c r="BU16" s="6"/>
      <c r="BV16" s="65"/>
      <c r="BW16" s="65"/>
      <c r="BX16" s="65"/>
      <c r="BY16" s="65"/>
      <c r="BZ16" s="65"/>
      <c r="CA16" s="65"/>
    </row>
    <row r="17" spans="1:79" x14ac:dyDescent="0.2">
      <c r="A17" s="9" t="s">
        <v>27</v>
      </c>
      <c r="B17" s="7" t="s">
        <v>38</v>
      </c>
      <c r="C17" s="21">
        <f>SUM(S17:V17)</f>
        <v>270012</v>
      </c>
      <c r="D17" s="21">
        <f>SUM(W17:Z17)</f>
        <v>316466</v>
      </c>
      <c r="E17" s="21">
        <f>SUM(AA17:AD17)</f>
        <v>356075</v>
      </c>
      <c r="F17" s="21">
        <f>SUM(AE17:AH17)</f>
        <v>457055.99999999994</v>
      </c>
      <c r="G17" s="21">
        <f>SUM(AI17:AL17)</f>
        <v>385252.00999999983</v>
      </c>
      <c r="H17" s="21">
        <f>SUM(AM17:AP17)</f>
        <v>496008</v>
      </c>
      <c r="I17" s="21">
        <f>SUM(AQ17:AT17)</f>
        <v>512160.82999999996</v>
      </c>
      <c r="J17" s="21">
        <f>SUM(AU17:AX17)</f>
        <v>627996.36000000057</v>
      </c>
      <c r="K17" s="21">
        <f>SUM(AY17:BB17)</f>
        <v>630399.10999999975</v>
      </c>
      <c r="L17" s="21">
        <f>SUM(BC17:BF17)</f>
        <v>538194.04</v>
      </c>
      <c r="M17" s="21">
        <f>SUM(BG17:BJ17)</f>
        <v>446479.84000000008</v>
      </c>
      <c r="N17" s="21">
        <f t="shared" si="0"/>
        <v>292395</v>
      </c>
      <c r="O17" s="21">
        <f>SUM(BO17:BR17)</f>
        <v>547234.76</v>
      </c>
      <c r="P17" s="21">
        <f>SUM(BS17:BV17)</f>
        <v>699959.08999999985</v>
      </c>
      <c r="Q17" s="21">
        <f>671437</f>
        <v>671437</v>
      </c>
      <c r="R17" s="9"/>
      <c r="S17" s="21">
        <v>59638</v>
      </c>
      <c r="T17" s="21">
        <v>62544</v>
      </c>
      <c r="U17" s="21">
        <v>63737</v>
      </c>
      <c r="V17" s="21">
        <v>84093</v>
      </c>
      <c r="W17" s="21">
        <v>77726</v>
      </c>
      <c r="X17" s="21">
        <v>69155</v>
      </c>
      <c r="Y17" s="21">
        <v>75102</v>
      </c>
      <c r="Z17" s="21">
        <v>94483</v>
      </c>
      <c r="AA17" s="21">
        <v>73481</v>
      </c>
      <c r="AB17" s="21">
        <v>80042</v>
      </c>
      <c r="AC17" s="21">
        <v>92755</v>
      </c>
      <c r="AD17" s="21">
        <v>109797</v>
      </c>
      <c r="AE17" s="21">
        <v>109059.86999999998</v>
      </c>
      <c r="AF17" s="21">
        <v>94914.339999999938</v>
      </c>
      <c r="AG17" s="21">
        <v>106039.39000000001</v>
      </c>
      <c r="AH17" s="21">
        <v>147042.40000000002</v>
      </c>
      <c r="AI17" s="21">
        <v>46989.890000000007</v>
      </c>
      <c r="AJ17" s="21">
        <v>41973</v>
      </c>
      <c r="AK17" s="21">
        <v>121522.17999999996</v>
      </c>
      <c r="AL17" s="21">
        <v>174766.93999999986</v>
      </c>
      <c r="AM17" s="21">
        <v>135003</v>
      </c>
      <c r="AN17" s="21">
        <v>100599</v>
      </c>
      <c r="AO17" s="21">
        <v>106661</v>
      </c>
      <c r="AP17" s="21">
        <v>153745</v>
      </c>
      <c r="AQ17" s="21">
        <v>113645.64999999998</v>
      </c>
      <c r="AR17" s="21">
        <v>122427.20999999999</v>
      </c>
      <c r="AS17" s="21">
        <v>113979.40000000005</v>
      </c>
      <c r="AT17" s="21">
        <v>162108.56999999995</v>
      </c>
      <c r="AU17" s="21">
        <v>134075.34000000008</v>
      </c>
      <c r="AV17" s="21">
        <v>128467.99000000011</v>
      </c>
      <c r="AW17" s="21">
        <v>154096.60000000015</v>
      </c>
      <c r="AX17" s="21">
        <v>211356.43000000023</v>
      </c>
      <c r="AY17" s="21">
        <v>167954.35000000003</v>
      </c>
      <c r="AZ17" s="21">
        <v>154257.2699999999</v>
      </c>
      <c r="BA17" s="21">
        <v>136657.71999999997</v>
      </c>
      <c r="BB17" s="21">
        <v>171529.76999999981</v>
      </c>
      <c r="BC17" s="21">
        <v>125971.07999999997</v>
      </c>
      <c r="BD17" s="21">
        <v>94984.22000000003</v>
      </c>
      <c r="BE17" s="21">
        <v>150450.70000000001</v>
      </c>
      <c r="BF17" s="21">
        <v>166788.04</v>
      </c>
      <c r="BG17" s="20">
        <v>98670.300000000032</v>
      </c>
      <c r="BH17" s="20">
        <v>122269.54000000007</v>
      </c>
      <c r="BI17" s="20">
        <v>96470</v>
      </c>
      <c r="BJ17" s="20">
        <v>129070</v>
      </c>
      <c r="BK17" s="20">
        <v>90439</v>
      </c>
      <c r="BL17" s="20">
        <v>53036</v>
      </c>
      <c r="BM17" s="20">
        <v>66986</v>
      </c>
      <c r="BN17" s="20">
        <v>81934</v>
      </c>
      <c r="BO17" s="20">
        <v>73632.870000000039</v>
      </c>
      <c r="BP17" s="20">
        <v>110647.41</v>
      </c>
      <c r="BQ17" s="20">
        <v>156337.03</v>
      </c>
      <c r="BR17" s="65">
        <v>206617.44999999995</v>
      </c>
      <c r="BS17" s="65">
        <v>189205</v>
      </c>
      <c r="BT17" s="65">
        <v>195951.15999999989</v>
      </c>
      <c r="BU17" s="65">
        <v>157360.99999999997</v>
      </c>
      <c r="BV17" s="65">
        <v>157441.93</v>
      </c>
      <c r="BW17" s="65">
        <v>192077</v>
      </c>
      <c r="BX17" s="65">
        <v>103677.55000000002</v>
      </c>
      <c r="BY17" s="65">
        <f>175226</f>
        <v>175226</v>
      </c>
      <c r="BZ17" s="65">
        <f>200456</f>
        <v>200456</v>
      </c>
      <c r="CA17" s="65">
        <f>89973</f>
        <v>89973</v>
      </c>
    </row>
    <row r="18" spans="1:79" x14ac:dyDescent="0.2">
      <c r="A18" s="24" t="s">
        <v>39</v>
      </c>
      <c r="B18" s="25" t="s">
        <v>38</v>
      </c>
      <c r="C18" s="26">
        <v>328435</v>
      </c>
      <c r="D18" s="26">
        <v>363120</v>
      </c>
      <c r="E18" s="26">
        <v>468248</v>
      </c>
      <c r="F18" s="26">
        <v>583483</v>
      </c>
      <c r="G18" s="26">
        <v>502203</v>
      </c>
      <c r="H18" s="26">
        <v>420325</v>
      </c>
      <c r="I18" s="26">
        <f>SUM(AQ18:AT18)</f>
        <v>422946</v>
      </c>
      <c r="J18" s="26">
        <f>SUM(AU18:AX18)</f>
        <v>479339</v>
      </c>
      <c r="K18" s="26">
        <f>SUM(AY18:BB18)</f>
        <v>621866.93999999994</v>
      </c>
      <c r="L18" s="26">
        <f>SUM(BC18:BF18)</f>
        <v>540325.10000000009</v>
      </c>
      <c r="M18" s="26">
        <f>SUM(BG18:BJ18)</f>
        <v>421209.4</v>
      </c>
      <c r="N18" s="26">
        <f t="shared" si="0"/>
        <v>734773</v>
      </c>
      <c r="O18" s="26">
        <f>SUM(BO18:BR18)</f>
        <v>416726.2</v>
      </c>
      <c r="P18" s="26">
        <f>SUM(BS18:BV18)</f>
        <v>161232</v>
      </c>
      <c r="Q18" s="26">
        <f>483472</f>
        <v>483472</v>
      </c>
      <c r="R18" s="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>
        <v>0</v>
      </c>
      <c r="AR18" s="26">
        <v>107796.6</v>
      </c>
      <c r="AS18" s="26">
        <v>19771.7</v>
      </c>
      <c r="AT18" s="26">
        <v>295377.7</v>
      </c>
      <c r="AU18" s="26">
        <v>0</v>
      </c>
      <c r="AV18" s="26">
        <v>0</v>
      </c>
      <c r="AW18" s="26">
        <v>56270</v>
      </c>
      <c r="AX18" s="26">
        <v>423069</v>
      </c>
      <c r="AY18" s="26">
        <v>34538.639999999999</v>
      </c>
      <c r="AZ18" s="26">
        <v>211804.59999999998</v>
      </c>
      <c r="BA18" s="26">
        <v>67230.100000000006</v>
      </c>
      <c r="BB18" s="26">
        <v>308293.60000000003</v>
      </c>
      <c r="BC18" s="26">
        <v>88512.6</v>
      </c>
      <c r="BD18" s="26">
        <v>88846.8</v>
      </c>
      <c r="BE18" s="26">
        <v>15569.7</v>
      </c>
      <c r="BF18" s="26">
        <v>347396</v>
      </c>
      <c r="BG18" s="27">
        <v>3028.4</v>
      </c>
      <c r="BH18" s="27">
        <v>0</v>
      </c>
      <c r="BI18" s="27">
        <v>181071</v>
      </c>
      <c r="BJ18" s="27">
        <v>237110</v>
      </c>
      <c r="BK18" s="27">
        <v>175693</v>
      </c>
      <c r="BL18" s="27">
        <v>58981</v>
      </c>
      <c r="BM18" s="27">
        <v>100377</v>
      </c>
      <c r="BN18" s="27">
        <v>399722</v>
      </c>
      <c r="BO18" s="27">
        <v>88068.2</v>
      </c>
      <c r="BP18" s="27">
        <v>107671.70000000001</v>
      </c>
      <c r="BQ18" s="27">
        <v>43235.3</v>
      </c>
      <c r="BR18" s="27">
        <v>177751</v>
      </c>
      <c r="BS18" s="27">
        <v>0</v>
      </c>
      <c r="BT18" s="27">
        <f>50919</f>
        <v>50919</v>
      </c>
      <c r="BU18" s="27">
        <f>35495</f>
        <v>35495</v>
      </c>
      <c r="BV18" s="27">
        <f>74818</f>
        <v>74818</v>
      </c>
      <c r="BW18" s="27">
        <v>73153</v>
      </c>
      <c r="BX18" s="27">
        <f>90700</f>
        <v>90700</v>
      </c>
      <c r="BY18" s="27">
        <f>149778</f>
        <v>149778</v>
      </c>
      <c r="BZ18" s="27">
        <f>169841</f>
        <v>169841</v>
      </c>
      <c r="CA18" s="27">
        <f>236548</f>
        <v>236548</v>
      </c>
    </row>
    <row r="19" spans="1:79" x14ac:dyDescent="0.2">
      <c r="A19" s="68"/>
      <c r="B19" s="7"/>
      <c r="C19" s="10"/>
      <c r="D19" s="10"/>
      <c r="E19" s="10"/>
      <c r="F19" s="10"/>
      <c r="G19" s="10"/>
      <c r="H19" s="10"/>
      <c r="I19" s="10"/>
      <c r="J19" s="9"/>
      <c r="K19" s="9"/>
      <c r="L19" s="9"/>
      <c r="M19" s="9"/>
      <c r="N19" s="9"/>
      <c r="O19" s="9"/>
      <c r="P19" s="9"/>
      <c r="Q19" s="9"/>
      <c r="R19" s="9"/>
      <c r="S19" s="9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9"/>
      <c r="AE19" s="9"/>
      <c r="AF19" s="9"/>
      <c r="AG19" s="9"/>
      <c r="AH19" s="9"/>
      <c r="AI19" s="9"/>
      <c r="AJ19" s="116"/>
      <c r="AK19" s="116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</row>
    <row r="20" spans="1:79" x14ac:dyDescent="0.2">
      <c r="A20" s="68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  <c r="S20" s="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9"/>
      <c r="AE20" s="9"/>
      <c r="AF20" s="9"/>
      <c r="AG20" s="9"/>
      <c r="AH20" s="9"/>
      <c r="AI20" s="11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</row>
    <row r="21" spans="1:79" ht="18" x14ac:dyDescent="0.25">
      <c r="A21" s="54" t="s">
        <v>271</v>
      </c>
      <c r="B21" s="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9"/>
      <c r="N21" s="9"/>
      <c r="O21" s="9"/>
      <c r="P21" s="9"/>
      <c r="Q21" s="9"/>
      <c r="R21" s="9"/>
      <c r="S21" s="9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</row>
    <row r="22" spans="1:79" x14ac:dyDescent="0.2">
      <c r="A22" s="2" t="s">
        <v>1</v>
      </c>
      <c r="B22" s="7"/>
      <c r="C22" s="10"/>
      <c r="D22" s="10"/>
      <c r="E22" s="10"/>
      <c r="F22" s="10"/>
      <c r="G22" s="10"/>
      <c r="H22" s="10"/>
      <c r="I22" s="1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</row>
    <row r="23" spans="1:79" x14ac:dyDescent="0.2">
      <c r="A23" s="68"/>
      <c r="B23" s="7"/>
      <c r="C23" s="10"/>
      <c r="D23" s="10"/>
      <c r="E23" s="10"/>
      <c r="F23" s="10"/>
      <c r="G23" s="10"/>
      <c r="H23" s="10"/>
      <c r="I23" s="10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</row>
    <row r="24" spans="1:79" x14ac:dyDescent="0.2">
      <c r="A24" s="19"/>
      <c r="B24" s="106" t="s">
        <v>2</v>
      </c>
      <c r="C24" s="107">
        <v>2011</v>
      </c>
      <c r="D24" s="107">
        <v>2012</v>
      </c>
      <c r="E24" s="107">
        <v>2013</v>
      </c>
      <c r="F24" s="107">
        <v>2014</v>
      </c>
      <c r="G24" s="107">
        <v>2015</v>
      </c>
      <c r="H24" s="107">
        <v>2016</v>
      </c>
      <c r="I24" s="107">
        <v>2017</v>
      </c>
      <c r="J24" s="107">
        <v>2018</v>
      </c>
      <c r="K24" s="107">
        <v>2019</v>
      </c>
      <c r="L24" s="107">
        <v>2020</v>
      </c>
      <c r="M24" s="107">
        <v>2021</v>
      </c>
      <c r="N24" s="107">
        <f>N5</f>
        <v>2022</v>
      </c>
      <c r="O24" s="107">
        <f>O5</f>
        <v>2023</v>
      </c>
      <c r="P24" s="107">
        <f>P5</f>
        <v>2024</v>
      </c>
      <c r="Q24" s="107">
        <v>2025</v>
      </c>
      <c r="R24" s="108"/>
      <c r="S24" s="109" t="s">
        <v>47</v>
      </c>
      <c r="T24" s="109" t="s">
        <v>48</v>
      </c>
      <c r="U24" s="109" t="s">
        <v>49</v>
      </c>
      <c r="V24" s="109" t="s">
        <v>50</v>
      </c>
      <c r="W24" s="109" t="s">
        <v>51</v>
      </c>
      <c r="X24" s="109" t="s">
        <v>52</v>
      </c>
      <c r="Y24" s="109" t="s">
        <v>53</v>
      </c>
      <c r="Z24" s="109" t="s">
        <v>54</v>
      </c>
      <c r="AA24" s="109" t="s">
        <v>55</v>
      </c>
      <c r="AB24" s="109" t="s">
        <v>56</v>
      </c>
      <c r="AC24" s="109" t="s">
        <v>57</v>
      </c>
      <c r="AD24" s="109" t="s">
        <v>58</v>
      </c>
      <c r="AE24" s="109" t="s">
        <v>59</v>
      </c>
      <c r="AF24" s="109" t="s">
        <v>60</v>
      </c>
      <c r="AG24" s="109" t="s">
        <v>61</v>
      </c>
      <c r="AH24" s="109" t="s">
        <v>62</v>
      </c>
      <c r="AI24" s="109" t="s">
        <v>63</v>
      </c>
      <c r="AJ24" s="109" t="s">
        <v>64</v>
      </c>
      <c r="AK24" s="109" t="s">
        <v>65</v>
      </c>
      <c r="AL24" s="109" t="s">
        <v>66</v>
      </c>
      <c r="AM24" s="109" t="s">
        <v>67</v>
      </c>
      <c r="AN24" s="109" t="s">
        <v>68</v>
      </c>
      <c r="AO24" s="109" t="s">
        <v>69</v>
      </c>
      <c r="AP24" s="109" t="s">
        <v>70</v>
      </c>
      <c r="AQ24" s="109" t="s">
        <v>71</v>
      </c>
      <c r="AR24" s="109" t="s">
        <v>72</v>
      </c>
      <c r="AS24" s="109" t="s">
        <v>73</v>
      </c>
      <c r="AT24" s="109" t="s">
        <v>74</v>
      </c>
      <c r="AU24" s="109" t="s">
        <v>75</v>
      </c>
      <c r="AV24" s="109" t="s">
        <v>76</v>
      </c>
      <c r="AW24" s="109" t="s">
        <v>77</v>
      </c>
      <c r="AX24" s="109" t="s">
        <v>78</v>
      </c>
      <c r="AY24" s="109" t="s">
        <v>79</v>
      </c>
      <c r="AZ24" s="109" t="s">
        <v>80</v>
      </c>
      <c r="BA24" s="109" t="s">
        <v>81</v>
      </c>
      <c r="BB24" s="109" t="s">
        <v>82</v>
      </c>
      <c r="BC24" s="109" t="s">
        <v>83</v>
      </c>
      <c r="BD24" s="109" t="s">
        <v>84</v>
      </c>
      <c r="BE24" s="109" t="s">
        <v>85</v>
      </c>
      <c r="BF24" s="109" t="s">
        <v>86</v>
      </c>
      <c r="BG24" s="109" t="s">
        <v>87</v>
      </c>
      <c r="BH24" s="109" t="s">
        <v>88</v>
      </c>
      <c r="BI24" s="109" t="s">
        <v>89</v>
      </c>
      <c r="BJ24" s="109" t="s">
        <v>90</v>
      </c>
      <c r="BK24" s="109" t="s">
        <v>276</v>
      </c>
      <c r="BL24" s="109" t="s">
        <v>277</v>
      </c>
      <c r="BM24" s="109" t="s">
        <v>283</v>
      </c>
      <c r="BN24" s="109" t="s">
        <v>284</v>
      </c>
      <c r="BO24" s="109" t="str">
        <f>BO5</f>
        <v>1Q 2023</v>
      </c>
      <c r="BP24" s="109" t="str">
        <f t="shared" ref="BP24:BQ24" si="2">BP5</f>
        <v>2Q 2023</v>
      </c>
      <c r="BQ24" s="109" t="str">
        <f t="shared" si="2"/>
        <v>3Q 2023</v>
      </c>
      <c r="BR24" s="109" t="s">
        <v>293</v>
      </c>
      <c r="BS24" s="109" t="s">
        <v>300</v>
      </c>
      <c r="BT24" s="109" t="s">
        <v>301</v>
      </c>
      <c r="BU24" s="109" t="s">
        <v>304</v>
      </c>
      <c r="BV24" s="109" t="s">
        <v>305</v>
      </c>
      <c r="BW24" s="109" t="s">
        <v>313</v>
      </c>
      <c r="BX24" s="109" t="s">
        <v>314</v>
      </c>
      <c r="BY24" s="109" t="s">
        <v>318</v>
      </c>
      <c r="BZ24" s="109" t="s">
        <v>319</v>
      </c>
      <c r="CA24" s="109" t="s">
        <v>325</v>
      </c>
    </row>
    <row r="25" spans="1:79" x14ac:dyDescent="0.2">
      <c r="A25" s="5" t="s">
        <v>26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9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9"/>
      <c r="BL25" s="9"/>
      <c r="BM25" s="9"/>
      <c r="BT25" s="6"/>
      <c r="BU25" s="6"/>
      <c r="BV25" s="6"/>
    </row>
    <row r="26" spans="1:79" x14ac:dyDescent="0.2">
      <c r="A26" s="28" t="s">
        <v>27</v>
      </c>
      <c r="B26" s="7" t="s">
        <v>5</v>
      </c>
      <c r="C26" s="29">
        <f>SUM(S26:V26)</f>
        <v>18306</v>
      </c>
      <c r="D26" s="29">
        <f>SUM(W26:Z26)</f>
        <v>23739</v>
      </c>
      <c r="E26" s="29">
        <f>SUM(AA26:AD26)</f>
        <v>30227</v>
      </c>
      <c r="F26" s="29">
        <f>SUM(AE26:AH26)</f>
        <v>39961</v>
      </c>
      <c r="G26" s="29">
        <f>SUM(AI26:AL26)</f>
        <v>35080</v>
      </c>
      <c r="H26" s="29">
        <f>SUM(AM26:AP26)</f>
        <v>47444</v>
      </c>
      <c r="I26" s="29">
        <f>SUM(AQ26:AT26)</f>
        <v>50240</v>
      </c>
      <c r="J26" s="29">
        <f t="shared" ref="J26:J32" si="3">SUM(AU26:AX26)</f>
        <v>68731.252889259995</v>
      </c>
      <c r="K26" s="29">
        <f t="shared" ref="K26:K32" si="4">SUM(AY26:BB26)</f>
        <v>77627.406625240008</v>
      </c>
      <c r="L26" s="29">
        <f t="shared" ref="L26:L32" si="5">SUM(BC26:BF26)</f>
        <v>79922.186658060004</v>
      </c>
      <c r="M26" s="29">
        <f t="shared" ref="M26:M32" si="6">SUM(BG26:BJ26)</f>
        <v>84387.99390999999</v>
      </c>
      <c r="N26" s="29">
        <f>SUM(BK26:BN26)</f>
        <v>58652</v>
      </c>
      <c r="O26" s="29">
        <f t="shared" ref="O26:O33" si="7">SUM(BO26:BR26)</f>
        <v>105563.58845944001</v>
      </c>
      <c r="P26" s="29">
        <f>SUM(BS26:BV26)</f>
        <v>146241</v>
      </c>
      <c r="Q26" s="29">
        <f>SUM(BW26:BZ26)</f>
        <v>153538.43844214</v>
      </c>
      <c r="R26" s="28"/>
      <c r="S26" s="29">
        <v>4158</v>
      </c>
      <c r="T26" s="29">
        <v>3781</v>
      </c>
      <c r="U26" s="29">
        <v>4336</v>
      </c>
      <c r="V26" s="29">
        <v>6031</v>
      </c>
      <c r="W26" s="29">
        <v>5566</v>
      </c>
      <c r="X26" s="29">
        <v>5195</v>
      </c>
      <c r="Y26" s="29">
        <v>5563</v>
      </c>
      <c r="Z26" s="29">
        <v>7415</v>
      </c>
      <c r="AA26" s="29">
        <v>5923</v>
      </c>
      <c r="AB26" s="29">
        <v>6746</v>
      </c>
      <c r="AC26" s="29">
        <v>8152</v>
      </c>
      <c r="AD26" s="29">
        <v>9406</v>
      </c>
      <c r="AE26" s="29">
        <v>9077</v>
      </c>
      <c r="AF26" s="29">
        <v>8095</v>
      </c>
      <c r="AG26" s="29">
        <v>9480</v>
      </c>
      <c r="AH26" s="29">
        <v>13309</v>
      </c>
      <c r="AI26" s="29">
        <v>3804</v>
      </c>
      <c r="AJ26" s="29">
        <v>4110</v>
      </c>
      <c r="AK26" s="29">
        <v>11392</v>
      </c>
      <c r="AL26" s="29">
        <v>15774</v>
      </c>
      <c r="AM26" s="29">
        <v>12860</v>
      </c>
      <c r="AN26" s="29">
        <v>10284</v>
      </c>
      <c r="AO26" s="29">
        <v>10575</v>
      </c>
      <c r="AP26" s="29">
        <v>13725</v>
      </c>
      <c r="AQ26" s="29">
        <v>10248</v>
      </c>
      <c r="AR26" s="29">
        <v>11346</v>
      </c>
      <c r="AS26" s="29">
        <v>11970</v>
      </c>
      <c r="AT26" s="29">
        <v>16676</v>
      </c>
      <c r="AU26" s="29">
        <v>13605.154832299999</v>
      </c>
      <c r="AV26" s="29">
        <v>13881.61159593</v>
      </c>
      <c r="AW26" s="29">
        <v>16798.903380110001</v>
      </c>
      <c r="AX26" s="29">
        <v>24445.583080919998</v>
      </c>
      <c r="AY26" s="29">
        <f t="shared" ref="AY26:BH26" si="8">SUM(AY27:AY28)</f>
        <v>19952.326535440006</v>
      </c>
      <c r="AZ26" s="29">
        <f t="shared" si="8"/>
        <v>18782.154632409998</v>
      </c>
      <c r="BA26" s="29">
        <f t="shared" si="8"/>
        <v>17098.350112380002</v>
      </c>
      <c r="BB26" s="29">
        <f t="shared" si="8"/>
        <v>21794.575345010002</v>
      </c>
      <c r="BC26" s="29">
        <f t="shared" si="8"/>
        <v>17936.319567000002</v>
      </c>
      <c r="BD26" s="29">
        <f t="shared" si="8"/>
        <v>11585.362794000001</v>
      </c>
      <c r="BE26" s="29">
        <f t="shared" si="8"/>
        <v>23982.568796</v>
      </c>
      <c r="BF26" s="29">
        <f t="shared" si="8"/>
        <v>26417.935501059997</v>
      </c>
      <c r="BG26" s="29">
        <f t="shared" si="8"/>
        <v>16214.395377000001</v>
      </c>
      <c r="BH26" s="29">
        <f t="shared" si="8"/>
        <v>24932.598532999997</v>
      </c>
      <c r="BI26" s="30">
        <v>18390</v>
      </c>
      <c r="BJ26" s="30">
        <v>24851</v>
      </c>
      <c r="BK26" s="30">
        <v>19681</v>
      </c>
      <c r="BL26" s="30">
        <v>9638</v>
      </c>
      <c r="BM26" s="30">
        <v>13329</v>
      </c>
      <c r="BN26" s="66">
        <v>16004</v>
      </c>
      <c r="BO26" s="66">
        <f>BO7</f>
        <v>13436.384795000002</v>
      </c>
      <c r="BP26" s="66">
        <f t="shared" ref="BP26:BR26" si="9">BP7</f>
        <v>20566.103885999997</v>
      </c>
      <c r="BQ26" s="66">
        <f t="shared" si="9"/>
        <v>31169.099778440002</v>
      </c>
      <c r="BR26" s="66">
        <f t="shared" si="9"/>
        <v>40392</v>
      </c>
      <c r="BS26" s="66">
        <v>40965</v>
      </c>
      <c r="BT26" s="66">
        <v>37627</v>
      </c>
      <c r="BU26" s="66">
        <f>36948</f>
        <v>36948</v>
      </c>
      <c r="BV26" s="66">
        <f>30701</f>
        <v>30701</v>
      </c>
      <c r="BW26" s="66">
        <v>37377.266451999996</v>
      </c>
      <c r="BX26" s="66">
        <v>24823.707968999999</v>
      </c>
      <c r="BY26" s="66">
        <v>46854.62423406</v>
      </c>
      <c r="BZ26" s="66">
        <v>44482.839787079996</v>
      </c>
      <c r="CA26" s="66">
        <v>24652.917299000001</v>
      </c>
    </row>
    <row r="27" spans="1:79" x14ac:dyDescent="0.2">
      <c r="A27" s="22" t="s">
        <v>92</v>
      </c>
      <c r="B27" s="7" t="s">
        <v>5</v>
      </c>
      <c r="C27" s="21"/>
      <c r="D27" s="21"/>
      <c r="E27" s="21"/>
      <c r="F27" s="21"/>
      <c r="G27" s="21"/>
      <c r="H27" s="21"/>
      <c r="I27" s="21"/>
      <c r="J27" s="21">
        <f t="shared" si="3"/>
        <v>34266</v>
      </c>
      <c r="K27" s="21">
        <f t="shared" si="4"/>
        <v>43180.279834750007</v>
      </c>
      <c r="L27" s="21">
        <f t="shared" si="5"/>
        <v>46743.44769406</v>
      </c>
      <c r="M27" s="21">
        <f t="shared" si="6"/>
        <v>54052.761195999999</v>
      </c>
      <c r="N27" s="21">
        <f t="shared" ref="N27:N50" si="10">SUM(BK27:BN27)</f>
        <v>32296</v>
      </c>
      <c r="O27" s="21">
        <f t="shared" si="7"/>
        <v>58068.222750470006</v>
      </c>
      <c r="P27" s="21">
        <f t="shared" ref="P27:P33" si="11">SUM(BS27:BV27)</f>
        <v>74735.384345999992</v>
      </c>
      <c r="Q27" s="21">
        <f t="shared" ref="Q27:Q51" si="12">SUM(BW27:BZ27)</f>
        <v>91550.64773348</v>
      </c>
      <c r="R27" s="9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>
        <v>6342</v>
      </c>
      <c r="AV27" s="21">
        <v>6671</v>
      </c>
      <c r="AW27" s="21">
        <v>8453</v>
      </c>
      <c r="AX27" s="21">
        <v>12800</v>
      </c>
      <c r="AY27" s="21">
        <v>11601.924496440004</v>
      </c>
      <c r="AZ27" s="21">
        <v>10877.05207541</v>
      </c>
      <c r="BA27" s="21">
        <v>10050.512491379999</v>
      </c>
      <c r="BB27" s="21">
        <v>10650.79077152</v>
      </c>
      <c r="BC27" s="21">
        <v>10141.073105000001</v>
      </c>
      <c r="BD27" s="21">
        <v>5745.7992039999999</v>
      </c>
      <c r="BE27" s="21">
        <v>15541.945221000002</v>
      </c>
      <c r="BF27" s="21">
        <v>15314.63016406</v>
      </c>
      <c r="BG27" s="21">
        <v>9450.5745100000004</v>
      </c>
      <c r="BH27" s="21">
        <v>18431.186685999997</v>
      </c>
      <c r="BI27" s="20">
        <v>11303</v>
      </c>
      <c r="BJ27" s="20">
        <v>14868</v>
      </c>
      <c r="BK27" s="20">
        <v>11793</v>
      </c>
      <c r="BL27" s="20">
        <v>5720</v>
      </c>
      <c r="BM27" s="20">
        <v>7100</v>
      </c>
      <c r="BN27" s="20">
        <v>7683</v>
      </c>
      <c r="BO27" s="20">
        <v>7136.6284859999996</v>
      </c>
      <c r="BP27" s="20">
        <v>10352.425899</v>
      </c>
      <c r="BQ27" s="20">
        <v>18168.306126470001</v>
      </c>
      <c r="BR27" s="20">
        <v>22410.862239000002</v>
      </c>
      <c r="BS27" s="20">
        <v>26513.054758999999</v>
      </c>
      <c r="BT27" s="20">
        <v>17573.646098999998</v>
      </c>
      <c r="BU27" s="20">
        <v>17475.174886000001</v>
      </c>
      <c r="BV27" s="20">
        <v>13173.508602</v>
      </c>
      <c r="BW27" s="20">
        <v>19151.611603999998</v>
      </c>
      <c r="BX27" s="20">
        <v>11600.270501000001</v>
      </c>
      <c r="BY27" s="20">
        <v>30047.767380400001</v>
      </c>
      <c r="BZ27" s="20">
        <v>30750.998248079999</v>
      </c>
      <c r="CA27" s="20">
        <v>14134.029732999999</v>
      </c>
    </row>
    <row r="28" spans="1:79" x14ac:dyDescent="0.2">
      <c r="A28" s="22" t="s">
        <v>93</v>
      </c>
      <c r="B28" s="7" t="s">
        <v>5</v>
      </c>
      <c r="C28" s="21"/>
      <c r="D28" s="21"/>
      <c r="E28" s="21"/>
      <c r="F28" s="21"/>
      <c r="G28" s="21"/>
      <c r="H28" s="21"/>
      <c r="I28" s="21"/>
      <c r="J28" s="21">
        <f t="shared" si="3"/>
        <v>34465</v>
      </c>
      <c r="K28" s="21">
        <f t="shared" si="4"/>
        <v>34447.126790490001</v>
      </c>
      <c r="L28" s="21">
        <f t="shared" si="5"/>
        <v>33178.738963999996</v>
      </c>
      <c r="M28" s="21">
        <f t="shared" si="6"/>
        <v>30335.232713999998</v>
      </c>
      <c r="N28" s="21">
        <f t="shared" si="10"/>
        <v>20944</v>
      </c>
      <c r="O28" s="21">
        <f t="shared" si="7"/>
        <v>23739.191398449999</v>
      </c>
      <c r="P28" s="21">
        <f t="shared" si="11"/>
        <v>40829</v>
      </c>
      <c r="Q28" s="21">
        <f t="shared" si="12"/>
        <v>39224.5151023</v>
      </c>
      <c r="R28" s="9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>
        <v>7264</v>
      </c>
      <c r="AV28" s="21">
        <v>7210</v>
      </c>
      <c r="AW28" s="21">
        <v>8346</v>
      </c>
      <c r="AX28" s="21">
        <v>11645</v>
      </c>
      <c r="AY28" s="21">
        <v>8350.4020390000005</v>
      </c>
      <c r="AZ28" s="21">
        <v>7905.1025570000002</v>
      </c>
      <c r="BA28" s="21">
        <v>7047.8376210000006</v>
      </c>
      <c r="BB28" s="21">
        <v>11143.78457349</v>
      </c>
      <c r="BC28" s="21">
        <v>7795.2464620000001</v>
      </c>
      <c r="BD28" s="21">
        <v>5839.5635899999997</v>
      </c>
      <c r="BE28" s="21">
        <v>8440.6235749999996</v>
      </c>
      <c r="BF28" s="21">
        <v>11103.305337</v>
      </c>
      <c r="BG28" s="21">
        <v>6763.8208670000004</v>
      </c>
      <c r="BH28" s="21">
        <v>6501.4118469999994</v>
      </c>
      <c r="BI28" s="20">
        <v>7088</v>
      </c>
      <c r="BJ28" s="20">
        <v>9982</v>
      </c>
      <c r="BK28" s="20">
        <v>7888</v>
      </c>
      <c r="BL28" s="20">
        <v>3535</v>
      </c>
      <c r="BM28" s="20">
        <v>4482</v>
      </c>
      <c r="BN28" s="65">
        <v>5039</v>
      </c>
      <c r="BO28" s="20">
        <v>3360.8110019999999</v>
      </c>
      <c r="BP28" s="20">
        <v>6149.3626540000005</v>
      </c>
      <c r="BQ28" s="20">
        <v>6468.3942924499997</v>
      </c>
      <c r="BR28" s="20">
        <v>7760.6234499999991</v>
      </c>
      <c r="BS28" s="20">
        <v>6888</v>
      </c>
      <c r="BT28" s="20">
        <v>10366</v>
      </c>
      <c r="BU28" s="20">
        <f>12045</f>
        <v>12045</v>
      </c>
      <c r="BV28" s="20">
        <f>11530</f>
        <v>11530</v>
      </c>
      <c r="BW28" s="20">
        <v>11917.705325999999</v>
      </c>
      <c r="BX28" s="20">
        <v>8085.7780129999992</v>
      </c>
      <c r="BY28" s="20">
        <v>11528.170544299999</v>
      </c>
      <c r="BZ28" s="20">
        <v>7692.8612189999994</v>
      </c>
      <c r="CA28" s="20">
        <v>5453.2689520000004</v>
      </c>
    </row>
    <row r="29" spans="1:79" x14ac:dyDescent="0.2">
      <c r="A29" s="22" t="s">
        <v>278</v>
      </c>
      <c r="B29" s="7" t="s">
        <v>5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f>SUM(BK29:BN29)</f>
        <v>5412</v>
      </c>
      <c r="O29" s="21">
        <f t="shared" si="7"/>
        <v>23756.383300519999</v>
      </c>
      <c r="P29" s="21">
        <f t="shared" si="11"/>
        <v>30677</v>
      </c>
      <c r="Q29" s="21">
        <f t="shared" si="12"/>
        <v>22763.275606359999</v>
      </c>
      <c r="R29" s="9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0"/>
      <c r="BJ29" s="20"/>
      <c r="BK29" s="20"/>
      <c r="BL29" s="20">
        <v>383</v>
      </c>
      <c r="BM29" s="20">
        <v>1747</v>
      </c>
      <c r="BN29" s="20">
        <v>3282</v>
      </c>
      <c r="BO29" s="20">
        <v>2938.9453070000004</v>
      </c>
      <c r="BP29" s="20">
        <v>4064.3153329999996</v>
      </c>
      <c r="BQ29" s="20">
        <v>6532.3993595200009</v>
      </c>
      <c r="BR29" s="20">
        <v>10220.723301</v>
      </c>
      <c r="BS29" s="20">
        <v>7564</v>
      </c>
      <c r="BT29" s="20">
        <v>9687</v>
      </c>
      <c r="BU29" s="20">
        <f>7428</f>
        <v>7428</v>
      </c>
      <c r="BV29" s="20">
        <f>5998</f>
        <v>5998</v>
      </c>
      <c r="BW29" s="20">
        <v>6307.9495219999999</v>
      </c>
      <c r="BX29" s="20">
        <v>5137.659455</v>
      </c>
      <c r="BY29" s="20">
        <v>5278.6863093599995</v>
      </c>
      <c r="BZ29" s="20">
        <v>6038.9803199999997</v>
      </c>
      <c r="CA29" s="20">
        <v>5065.618614</v>
      </c>
    </row>
    <row r="30" spans="1:79" x14ac:dyDescent="0.2">
      <c r="A30" s="28" t="s">
        <v>28</v>
      </c>
      <c r="B30" s="7" t="s">
        <v>5</v>
      </c>
      <c r="C30" s="29"/>
      <c r="D30" s="29"/>
      <c r="E30" s="29">
        <f>SUM(AA30:AD30)</f>
        <v>26073</v>
      </c>
      <c r="F30" s="29">
        <f>SUM(AE30:AH30)</f>
        <v>35335</v>
      </c>
      <c r="G30" s="29">
        <f>SUM(AI30:AL30)</f>
        <v>25845</v>
      </c>
      <c r="H30" s="29">
        <f>SUM(AM30:AP30)</f>
        <v>39723.422637700001</v>
      </c>
      <c r="I30" s="29">
        <f>SUM(AQ30:AT30)</f>
        <v>46147</v>
      </c>
      <c r="J30" s="29">
        <f t="shared" si="3"/>
        <v>62785.436452919996</v>
      </c>
      <c r="K30" s="29">
        <f t="shared" si="4"/>
        <v>77713.387916539999</v>
      </c>
      <c r="L30" s="29">
        <f t="shared" si="5"/>
        <v>81985.030014119999</v>
      </c>
      <c r="M30" s="29">
        <f t="shared" si="6"/>
        <v>84093.78253756999</v>
      </c>
      <c r="N30" s="29">
        <f t="shared" si="10"/>
        <v>50386</v>
      </c>
      <c r="O30" s="29">
        <f t="shared" si="7"/>
        <v>82107.948539289995</v>
      </c>
      <c r="P30" s="29">
        <f t="shared" si="11"/>
        <v>95575.0591441</v>
      </c>
      <c r="Q30" s="29">
        <f t="shared" si="12"/>
        <v>100507.14710748001</v>
      </c>
      <c r="R30" s="28"/>
      <c r="S30" s="29"/>
      <c r="T30" s="29"/>
      <c r="U30" s="29"/>
      <c r="V30" s="29"/>
      <c r="W30" s="29"/>
      <c r="X30" s="29"/>
      <c r="Y30" s="29"/>
      <c r="Z30" s="29"/>
      <c r="AA30" s="29">
        <v>5237</v>
      </c>
      <c r="AB30" s="29">
        <v>5703</v>
      </c>
      <c r="AC30" s="29">
        <v>6769</v>
      </c>
      <c r="AD30" s="29">
        <v>8364</v>
      </c>
      <c r="AE30" s="29">
        <v>9088</v>
      </c>
      <c r="AF30" s="29">
        <v>5747</v>
      </c>
      <c r="AG30" s="29">
        <v>9012</v>
      </c>
      <c r="AH30" s="29">
        <v>11488</v>
      </c>
      <c r="AI30" s="29">
        <v>6003</v>
      </c>
      <c r="AJ30" s="29">
        <v>4412</v>
      </c>
      <c r="AK30" s="29">
        <v>5798</v>
      </c>
      <c r="AL30" s="29">
        <v>9632</v>
      </c>
      <c r="AM30" s="29">
        <v>10570.772917070002</v>
      </c>
      <c r="AN30" s="29">
        <v>9286</v>
      </c>
      <c r="AO30" s="29">
        <v>8743.8683072799995</v>
      </c>
      <c r="AP30" s="29">
        <v>11122.78141335</v>
      </c>
      <c r="AQ30" s="29">
        <v>9714</v>
      </c>
      <c r="AR30" s="29">
        <v>9283</v>
      </c>
      <c r="AS30" s="29">
        <v>12433</v>
      </c>
      <c r="AT30" s="29">
        <v>14717</v>
      </c>
      <c r="AU30" s="29">
        <v>12777.758215059999</v>
      </c>
      <c r="AV30" s="29">
        <v>14693.6143854</v>
      </c>
      <c r="AW30" s="29">
        <v>15010.584524129999</v>
      </c>
      <c r="AX30" s="29">
        <v>20303.479328329999</v>
      </c>
      <c r="AY30" s="29">
        <f t="shared" ref="AY30:BF30" si="13">SUM(AY31:AY32)</f>
        <v>23631.847321820002</v>
      </c>
      <c r="AZ30" s="29">
        <f t="shared" si="13"/>
        <v>19176.827587320004</v>
      </c>
      <c r="BA30" s="29">
        <f t="shared" si="13"/>
        <v>16114.074190340001</v>
      </c>
      <c r="BB30" s="29">
        <f t="shared" si="13"/>
        <v>18790.638817060004</v>
      </c>
      <c r="BC30" s="29">
        <f t="shared" si="13"/>
        <v>17604.427967750002</v>
      </c>
      <c r="BD30" s="29">
        <f t="shared" si="13"/>
        <v>13942.190508559997</v>
      </c>
      <c r="BE30" s="29">
        <f t="shared" si="13"/>
        <v>21235.062525180001</v>
      </c>
      <c r="BF30" s="29">
        <f t="shared" si="13"/>
        <v>29203.349012630002</v>
      </c>
      <c r="BG30" s="30">
        <f>SUM(BG31:BG32)</f>
        <v>18036.233013270001</v>
      </c>
      <c r="BH30" s="30">
        <f>SUM(BH31:BH32)</f>
        <v>22852.549524299997</v>
      </c>
      <c r="BI30" s="30">
        <v>19308</v>
      </c>
      <c r="BJ30" s="30">
        <v>23897</v>
      </c>
      <c r="BK30" s="30">
        <v>21235</v>
      </c>
      <c r="BL30" s="30">
        <v>11402</v>
      </c>
      <c r="BM30" s="30">
        <v>1170</v>
      </c>
      <c r="BN30" s="66">
        <v>16579</v>
      </c>
      <c r="BO30" s="66">
        <f>BO8</f>
        <v>12000.56727009</v>
      </c>
      <c r="BP30" s="66">
        <f t="shared" ref="BP30:BR30" si="14">BP8</f>
        <v>16208.977656510002</v>
      </c>
      <c r="BQ30" s="66">
        <f t="shared" si="14"/>
        <v>24684.403612690003</v>
      </c>
      <c r="BR30" s="66">
        <f t="shared" si="14"/>
        <v>29214</v>
      </c>
      <c r="BS30" s="66">
        <v>21587.418372629996</v>
      </c>
      <c r="BT30" s="66">
        <v>27201.23845058</v>
      </c>
      <c r="BU30" s="66">
        <v>24560.283543609999</v>
      </c>
      <c r="BV30" s="66">
        <v>22226.11877728</v>
      </c>
      <c r="BW30" s="66">
        <v>18095.799608189998</v>
      </c>
      <c r="BX30" s="66">
        <v>21529.7318877</v>
      </c>
      <c r="BY30" s="66">
        <v>20125.11124708</v>
      </c>
      <c r="BZ30" s="66">
        <v>40756.504364510009</v>
      </c>
      <c r="CA30" s="66">
        <v>26599.437029380006</v>
      </c>
    </row>
    <row r="31" spans="1:79" x14ac:dyDescent="0.2">
      <c r="A31" s="22" t="s">
        <v>92</v>
      </c>
      <c r="B31" s="7" t="s">
        <v>5</v>
      </c>
      <c r="C31" s="21"/>
      <c r="D31" s="21"/>
      <c r="E31" s="21"/>
      <c r="F31" s="21"/>
      <c r="G31" s="21"/>
      <c r="H31" s="21"/>
      <c r="I31" s="21"/>
      <c r="J31" s="21">
        <f t="shared" si="3"/>
        <v>31104</v>
      </c>
      <c r="K31" s="21">
        <f t="shared" si="4"/>
        <v>45656.239232670006</v>
      </c>
      <c r="L31" s="21">
        <f t="shared" si="5"/>
        <v>48673.272599920005</v>
      </c>
      <c r="M31" s="21">
        <f t="shared" si="6"/>
        <v>52435.787770880001</v>
      </c>
      <c r="N31" s="21">
        <f t="shared" si="10"/>
        <v>31501</v>
      </c>
      <c r="O31" s="21">
        <f t="shared" si="7"/>
        <v>41954.12411212</v>
      </c>
      <c r="P31" s="21">
        <f t="shared" si="11"/>
        <v>42490.069317759997</v>
      </c>
      <c r="Q31" s="21">
        <f>SUM(BW31:BZ31)</f>
        <v>53846.915714030001</v>
      </c>
      <c r="R31" s="9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>
        <v>6243</v>
      </c>
      <c r="AV31" s="21">
        <v>6641</v>
      </c>
      <c r="AW31" s="21">
        <v>7312</v>
      </c>
      <c r="AX31" s="21">
        <v>10908</v>
      </c>
      <c r="AY31" s="21">
        <v>14262.318003740002</v>
      </c>
      <c r="AZ31" s="21">
        <v>11768.061539420001</v>
      </c>
      <c r="BA31" s="21">
        <v>9737.9950076300011</v>
      </c>
      <c r="BB31" s="21">
        <v>9887.8646818800007</v>
      </c>
      <c r="BC31" s="21">
        <v>9323.5371594600001</v>
      </c>
      <c r="BD31" s="21">
        <v>7176.1069611499988</v>
      </c>
      <c r="BE31" s="21">
        <v>13737.299425159999</v>
      </c>
      <c r="BF31" s="21">
        <v>18436.329054150003</v>
      </c>
      <c r="BG31" s="20">
        <v>9861.0000419499993</v>
      </c>
      <c r="BH31" s="20">
        <v>16624.034578929997</v>
      </c>
      <c r="BI31" s="20">
        <v>11832.28983</v>
      </c>
      <c r="BJ31" s="20">
        <v>14118.463320000001</v>
      </c>
      <c r="BK31" s="20">
        <v>11609</v>
      </c>
      <c r="BL31" s="20">
        <v>6800</v>
      </c>
      <c r="BM31" s="20">
        <v>5405</v>
      </c>
      <c r="BN31" s="65">
        <v>7687</v>
      </c>
      <c r="BO31" s="20">
        <v>5822.5120402499997</v>
      </c>
      <c r="BP31" s="20">
        <v>7857.4142038400005</v>
      </c>
      <c r="BQ31" s="20">
        <v>13206.448385120002</v>
      </c>
      <c r="BR31" s="20">
        <v>15067.749482909998</v>
      </c>
      <c r="BS31" s="20">
        <v>11166.96979865</v>
      </c>
      <c r="BT31" s="20">
        <v>11766.929140209999</v>
      </c>
      <c r="BU31" s="20">
        <v>10531.3192963</v>
      </c>
      <c r="BV31" s="20">
        <v>9024.8510825999983</v>
      </c>
      <c r="BW31" s="20">
        <v>5861.6219119000007</v>
      </c>
      <c r="BX31" s="20">
        <v>9180.7512245800008</v>
      </c>
      <c r="BY31" s="20">
        <v>8930.84980034</v>
      </c>
      <c r="BZ31" s="20">
        <v>29873.692777210003</v>
      </c>
      <c r="CA31" s="20">
        <v>16676.736739630003</v>
      </c>
    </row>
    <row r="32" spans="1:79" x14ac:dyDescent="0.2">
      <c r="A32" s="22" t="s">
        <v>93</v>
      </c>
      <c r="B32" s="7" t="s">
        <v>5</v>
      </c>
      <c r="C32" s="21"/>
      <c r="D32" s="21"/>
      <c r="E32" s="21"/>
      <c r="F32" s="21"/>
      <c r="G32" s="21"/>
      <c r="H32" s="21"/>
      <c r="I32" s="21"/>
      <c r="J32" s="21">
        <f t="shared" si="3"/>
        <v>31683</v>
      </c>
      <c r="K32" s="21">
        <f t="shared" si="4"/>
        <v>32057.14868387</v>
      </c>
      <c r="L32" s="21">
        <f t="shared" si="5"/>
        <v>33311.757414200001</v>
      </c>
      <c r="M32" s="21">
        <f t="shared" si="6"/>
        <v>31657.747916690001</v>
      </c>
      <c r="N32" s="21">
        <f t="shared" si="10"/>
        <v>24205</v>
      </c>
      <c r="O32" s="21">
        <f t="shared" si="7"/>
        <v>20422.653538030001</v>
      </c>
      <c r="P32" s="21">
        <f>SUM(BS32:BV32)</f>
        <v>30528.600168420002</v>
      </c>
      <c r="Q32" s="21">
        <f t="shared" si="12"/>
        <v>28659.850397079994</v>
      </c>
      <c r="R32" s="9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>
        <v>6535</v>
      </c>
      <c r="AV32" s="21">
        <v>8053</v>
      </c>
      <c r="AW32" s="21">
        <v>7699</v>
      </c>
      <c r="AX32" s="21">
        <v>9396</v>
      </c>
      <c r="AY32" s="21">
        <v>9369.5293180799999</v>
      </c>
      <c r="AZ32" s="21">
        <v>7408.7660479000006</v>
      </c>
      <c r="BA32" s="21">
        <v>6376.0791827100002</v>
      </c>
      <c r="BB32" s="21">
        <v>8902.7741351800014</v>
      </c>
      <c r="BC32" s="21">
        <v>8280.8908082900016</v>
      </c>
      <c r="BD32" s="21">
        <v>6766.0835474099995</v>
      </c>
      <c r="BE32" s="21">
        <v>7497.7631000200008</v>
      </c>
      <c r="BF32" s="21">
        <v>10767.019958479999</v>
      </c>
      <c r="BG32" s="20">
        <v>8175.2329713199997</v>
      </c>
      <c r="BH32" s="20">
        <v>6228.5149453699996</v>
      </c>
      <c r="BI32" s="20">
        <v>7475</v>
      </c>
      <c r="BJ32" s="20">
        <v>9779</v>
      </c>
      <c r="BK32" s="20">
        <v>9627</v>
      </c>
      <c r="BL32" s="20">
        <v>4303</v>
      </c>
      <c r="BM32" s="20">
        <v>4354</v>
      </c>
      <c r="BN32" s="65">
        <v>5921</v>
      </c>
      <c r="BO32" s="20">
        <v>3199.9154398100004</v>
      </c>
      <c r="BP32" s="20">
        <v>4853.0675351399996</v>
      </c>
      <c r="BQ32" s="20">
        <v>6064.5328054000001</v>
      </c>
      <c r="BR32" s="20">
        <v>6305.1377576800005</v>
      </c>
      <c r="BS32" s="20">
        <v>5511.3248675799987</v>
      </c>
      <c r="BT32" s="20">
        <v>8532.2948402500006</v>
      </c>
      <c r="BU32" s="20">
        <v>7848.1382900600001</v>
      </c>
      <c r="BV32" s="20">
        <v>8636.8421705300007</v>
      </c>
      <c r="BW32" s="20">
        <v>8572.5435380899999</v>
      </c>
      <c r="BX32" s="20">
        <v>7953.5139697300001</v>
      </c>
      <c r="BY32" s="20">
        <v>6612.4236082299994</v>
      </c>
      <c r="BZ32" s="20">
        <v>5521.3692810299999</v>
      </c>
      <c r="CA32" s="20">
        <v>5713.3439448499994</v>
      </c>
    </row>
    <row r="33" spans="1:79" x14ac:dyDescent="0.2">
      <c r="A33" s="22" t="s">
        <v>278</v>
      </c>
      <c r="B33" s="7" t="s">
        <v>5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>
        <f>SUM(BK33:BN33)</f>
        <v>4679</v>
      </c>
      <c r="O33" s="21">
        <f t="shared" si="7"/>
        <v>19730.795129850001</v>
      </c>
      <c r="P33" s="21">
        <f t="shared" si="11"/>
        <v>22556.389657919997</v>
      </c>
      <c r="Q33" s="21">
        <f t="shared" si="12"/>
        <v>18000.380996370001</v>
      </c>
      <c r="R33" s="9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0"/>
      <c r="BH33" s="20"/>
      <c r="BI33" s="20"/>
      <c r="BJ33" s="20"/>
      <c r="BK33" s="20"/>
      <c r="BL33" s="20">
        <v>299</v>
      </c>
      <c r="BM33" s="20">
        <v>1410</v>
      </c>
      <c r="BN33" s="65">
        <v>2970</v>
      </c>
      <c r="BO33" s="20">
        <v>2978.1397900299999</v>
      </c>
      <c r="BP33" s="20">
        <v>3498.49591753</v>
      </c>
      <c r="BQ33" s="20">
        <v>5413.4224221700006</v>
      </c>
      <c r="BR33" s="20">
        <v>7840.7370001199997</v>
      </c>
      <c r="BS33" s="20">
        <v>4909.1237063999997</v>
      </c>
      <c r="BT33" s="20">
        <v>6902.0144701199997</v>
      </c>
      <c r="BU33" s="20">
        <v>6180.8259572500001</v>
      </c>
      <c r="BV33" s="20">
        <v>4564.4255241500005</v>
      </c>
      <c r="BW33" s="20">
        <v>3661.6341582</v>
      </c>
      <c r="BX33" s="20">
        <v>4395.4666933900007</v>
      </c>
      <c r="BY33" s="20">
        <v>4581.8378385100004</v>
      </c>
      <c r="BZ33" s="20">
        <v>5361.4423062699989</v>
      </c>
      <c r="CA33" s="20">
        <v>4209.3563449000003</v>
      </c>
    </row>
    <row r="34" spans="1:79" x14ac:dyDescent="0.2">
      <c r="A34" s="28" t="s">
        <v>29</v>
      </c>
      <c r="B34" s="7" t="s">
        <v>30</v>
      </c>
      <c r="C34" s="29">
        <v>67797</v>
      </c>
      <c r="D34" s="29">
        <v>75013</v>
      </c>
      <c r="E34" s="29">
        <v>84889</v>
      </c>
      <c r="F34" s="29">
        <v>87431</v>
      </c>
      <c r="G34" s="29">
        <v>91057.20360523343</v>
      </c>
      <c r="H34" s="29">
        <v>95649.762108517345</v>
      </c>
      <c r="I34" s="29">
        <v>98094.123288225688</v>
      </c>
      <c r="J34" s="29">
        <v>109445.30457033213</v>
      </c>
      <c r="K34" s="29">
        <v>123140.09552653086</v>
      </c>
      <c r="L34" s="29">
        <v>148500.69067665632</v>
      </c>
      <c r="M34" s="29">
        <v>189008.00940000001</v>
      </c>
      <c r="N34" s="29">
        <f>AVERAGE(BK34:BN34)</f>
        <v>198413</v>
      </c>
      <c r="O34" s="29">
        <f t="shared" ref="O34:Q35" si="15">O26/O44*1000000</f>
        <v>192903.66068748999</v>
      </c>
      <c r="P34" s="29">
        <f t="shared" si="15"/>
        <v>208927.92463056667</v>
      </c>
      <c r="Q34" s="29">
        <f t="shared" si="15"/>
        <v>228671.545909601</v>
      </c>
      <c r="R34" s="28"/>
      <c r="S34" s="29">
        <v>69721</v>
      </c>
      <c r="T34" s="29">
        <v>60453</v>
      </c>
      <c r="U34" s="29">
        <v>68030</v>
      </c>
      <c r="V34" s="29">
        <v>71718</v>
      </c>
      <c r="W34" s="29">
        <v>71611</v>
      </c>
      <c r="X34" s="29">
        <v>75120</v>
      </c>
      <c r="Y34" s="29">
        <v>74073</v>
      </c>
      <c r="Z34" s="29">
        <v>78484</v>
      </c>
      <c r="AA34" s="29">
        <v>80606</v>
      </c>
      <c r="AB34" s="29">
        <v>81102</v>
      </c>
      <c r="AC34" s="29">
        <v>87800</v>
      </c>
      <c r="AD34" s="29">
        <v>85667</v>
      </c>
      <c r="AE34" s="29">
        <v>83228.279413133379</v>
      </c>
      <c r="AF34" s="29">
        <v>85288.692095209277</v>
      </c>
      <c r="AG34" s="29">
        <v>89402.153728722871</v>
      </c>
      <c r="AH34" s="29">
        <v>90510.557914723904</v>
      </c>
      <c r="AI34" s="29">
        <v>80946.282812226491</v>
      </c>
      <c r="AJ34" s="29">
        <v>97918.322170442902</v>
      </c>
      <c r="AK34" s="29">
        <v>93746.002211283601</v>
      </c>
      <c r="AL34" s="29">
        <v>90258.314857375255</v>
      </c>
      <c r="AM34" s="29">
        <v>95254</v>
      </c>
      <c r="AN34" s="29">
        <v>102223</v>
      </c>
      <c r="AO34" s="29">
        <v>99144</v>
      </c>
      <c r="AP34" s="29">
        <v>89272</v>
      </c>
      <c r="AQ34" s="29">
        <v>90177.794240254676</v>
      </c>
      <c r="AR34" s="29">
        <v>92675.773665021043</v>
      </c>
      <c r="AS34" s="29">
        <v>105015.44777916004</v>
      </c>
      <c r="AT34" s="29">
        <v>102869.44993975338</v>
      </c>
      <c r="AU34" s="29">
        <v>101473.95361667546</v>
      </c>
      <c r="AV34" s="29">
        <v>108055.02285767831</v>
      </c>
      <c r="AW34" s="29">
        <v>109015.40579162672</v>
      </c>
      <c r="AX34" s="29">
        <v>115660.46550332049</v>
      </c>
      <c r="AY34" s="29">
        <v>118796.12844466366</v>
      </c>
      <c r="AZ34" s="29">
        <v>121758.63498952119</v>
      </c>
      <c r="BA34" s="29">
        <v>125118.06952713689</v>
      </c>
      <c r="BB34" s="29">
        <v>127060.01614186288</v>
      </c>
      <c r="BC34" s="29">
        <v>142384.42321047024</v>
      </c>
      <c r="BD34" s="29">
        <v>121971.44740463202</v>
      </c>
      <c r="BE34" s="29">
        <v>159404.83358335987</v>
      </c>
      <c r="BF34" s="29">
        <v>158392.26542298836</v>
      </c>
      <c r="BG34" s="30">
        <v>164329.03697465188</v>
      </c>
      <c r="BH34" s="30">
        <v>203915.04321517842</v>
      </c>
      <c r="BI34" s="30">
        <v>190633</v>
      </c>
      <c r="BJ34" s="30">
        <v>192538</v>
      </c>
      <c r="BK34" s="30">
        <v>217611</v>
      </c>
      <c r="BL34" s="30">
        <v>181732</v>
      </c>
      <c r="BM34" s="30">
        <v>198985</v>
      </c>
      <c r="BN34" s="30">
        <v>195324</v>
      </c>
      <c r="BO34" s="30">
        <f>BO9</f>
        <v>182478.08071313796</v>
      </c>
      <c r="BP34" s="30">
        <f t="shared" ref="BP34:BR34" si="16">BP9</f>
        <v>185870.63073595663</v>
      </c>
      <c r="BQ34" s="30">
        <f t="shared" si="16"/>
        <v>199371.19042391944</v>
      </c>
      <c r="BR34" s="30">
        <f t="shared" si="16"/>
        <v>195493</v>
      </c>
      <c r="BS34" s="30">
        <v>216512</v>
      </c>
      <c r="BT34" s="30">
        <v>192021</v>
      </c>
      <c r="BU34" s="30">
        <f>234799</f>
        <v>234799</v>
      </c>
      <c r="BV34" s="30">
        <f>195000</f>
        <v>195000</v>
      </c>
      <c r="BW34" s="30">
        <f>194595</f>
        <v>194595</v>
      </c>
      <c r="BX34" s="30">
        <f>239432</f>
        <v>239432</v>
      </c>
      <c r="BY34" s="30">
        <f>267395</f>
        <v>267395</v>
      </c>
      <c r="BZ34" s="30">
        <f>221909</f>
        <v>221909</v>
      </c>
      <c r="CA34" s="30">
        <v>274004.20481663512</v>
      </c>
    </row>
    <row r="35" spans="1:79" x14ac:dyDescent="0.2">
      <c r="A35" s="22" t="s">
        <v>92</v>
      </c>
      <c r="B35" s="7" t="s">
        <v>30</v>
      </c>
      <c r="C35" s="21"/>
      <c r="D35" s="21"/>
      <c r="E35" s="21"/>
      <c r="F35" s="21"/>
      <c r="G35" s="21"/>
      <c r="H35" s="21"/>
      <c r="I35" s="21"/>
      <c r="J35" s="21"/>
      <c r="K35" s="21">
        <v>142717</v>
      </c>
      <c r="L35" s="21">
        <v>171585</v>
      </c>
      <c r="M35" s="21">
        <v>227675.32320000001</v>
      </c>
      <c r="N35" s="21">
        <f t="shared" ref="N35:N36" si="17">AVERAGE(BK35:BN35)</f>
        <v>264026.25</v>
      </c>
      <c r="O35" s="21">
        <f t="shared" si="15"/>
        <v>275729.8315307544</v>
      </c>
      <c r="P35" s="21">
        <f t="shared" si="15"/>
        <v>300729.07098191651</v>
      </c>
      <c r="Q35" s="21">
        <f t="shared" si="15"/>
        <v>274839.62293375272</v>
      </c>
      <c r="R35" s="9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>
        <v>106636</v>
      </c>
      <c r="AV35" s="21">
        <v>111066</v>
      </c>
      <c r="AW35" s="21">
        <v>109630</v>
      </c>
      <c r="AX35" s="21">
        <v>119972</v>
      </c>
      <c r="AY35" s="21">
        <v>134674.20860035415</v>
      </c>
      <c r="AZ35" s="21">
        <v>144541.35515290051</v>
      </c>
      <c r="BA35" s="21">
        <v>141407.16011891101</v>
      </c>
      <c r="BB35" s="21">
        <v>151970.89868517112</v>
      </c>
      <c r="BC35" s="21">
        <v>171385.11339795694</v>
      </c>
      <c r="BD35" s="21">
        <v>122861.17023687845</v>
      </c>
      <c r="BE35" s="21">
        <v>194240.88155076321</v>
      </c>
      <c r="BF35" s="21">
        <v>177110.01248022571</v>
      </c>
      <c r="BG35" s="20">
        <v>182564.76327908901</v>
      </c>
      <c r="BH35" s="20">
        <v>232271.66960820701</v>
      </c>
      <c r="BI35" s="20">
        <v>228589</v>
      </c>
      <c r="BJ35" s="20">
        <v>261542</v>
      </c>
      <c r="BK35" s="20">
        <v>277236</v>
      </c>
      <c r="BL35" s="20">
        <v>227781</v>
      </c>
      <c r="BM35" s="20">
        <v>281433</v>
      </c>
      <c r="BN35" s="65">
        <v>269655</v>
      </c>
      <c r="BO35" s="20">
        <v>241677.11333712612</v>
      </c>
      <c r="BP35" s="20">
        <v>252623.76515448411</v>
      </c>
      <c r="BQ35" s="20">
        <v>298533.53502197156</v>
      </c>
      <c r="BR35" s="20">
        <v>282856.39688387804</v>
      </c>
      <c r="BS35" s="20">
        <v>297300</v>
      </c>
      <c r="BT35" s="20">
        <f>301581</f>
        <v>301581</v>
      </c>
      <c r="BU35" s="20">
        <f>315182</f>
        <v>315182</v>
      </c>
      <c r="BV35" s="20">
        <f>288781</f>
        <v>288781</v>
      </c>
      <c r="BW35" s="20">
        <v>214244</v>
      </c>
      <c r="BX35" s="20">
        <f>357299</f>
        <v>357299</v>
      </c>
      <c r="BY35" s="20">
        <f>319428</f>
        <v>319428</v>
      </c>
      <c r="BZ35" s="20">
        <f>262425</f>
        <v>262425</v>
      </c>
      <c r="CA35" s="20">
        <v>337746.0322690875</v>
      </c>
    </row>
    <row r="36" spans="1:79" x14ac:dyDescent="0.2">
      <c r="A36" s="22" t="s">
        <v>93</v>
      </c>
      <c r="B36" s="7" t="s">
        <v>30</v>
      </c>
      <c r="C36" s="21"/>
      <c r="D36" s="21"/>
      <c r="E36" s="21"/>
      <c r="F36" s="21"/>
      <c r="G36" s="21"/>
      <c r="H36" s="21"/>
      <c r="I36" s="21"/>
      <c r="J36" s="21"/>
      <c r="K36" s="21">
        <v>105073</v>
      </c>
      <c r="L36" s="21">
        <v>124839</v>
      </c>
      <c r="M36" s="21">
        <v>145098.54550000001</v>
      </c>
      <c r="N36" s="21">
        <f t="shared" si="17"/>
        <v>175386.25</v>
      </c>
      <c r="O36" s="21">
        <f t="shared" ref="O36:P37" si="18">O28/O46*1000000</f>
        <v>160148.86525165982</v>
      </c>
      <c r="P36" s="21">
        <f t="shared" si="18"/>
        <v>162763.11323591121</v>
      </c>
      <c r="Q36" s="21">
        <f>Q28/Q46*1000000</f>
        <v>196236.57915215843</v>
      </c>
      <c r="R36" s="9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>
        <v>97359</v>
      </c>
      <c r="AV36" s="21">
        <v>105411</v>
      </c>
      <c r="AW36" s="21">
        <v>108400</v>
      </c>
      <c r="AX36" s="21">
        <v>111265</v>
      </c>
      <c r="AY36" s="21">
        <v>102075.33039949139</v>
      </c>
      <c r="AZ36" s="21">
        <v>100058.14254499302</v>
      </c>
      <c r="BA36" s="21">
        <v>107464.84053042623</v>
      </c>
      <c r="BB36" s="21">
        <v>109850.11609688206</v>
      </c>
      <c r="BC36" s="21">
        <v>116695.62076664282</v>
      </c>
      <c r="BD36" s="21">
        <v>121108.49913371918</v>
      </c>
      <c r="BE36" s="21">
        <v>119832.36031155818</v>
      </c>
      <c r="BF36" s="21">
        <v>138241.03100844199</v>
      </c>
      <c r="BG36" s="20">
        <v>144203.477839108</v>
      </c>
      <c r="BH36" s="20">
        <v>151485.59596287701</v>
      </c>
      <c r="BI36" s="20">
        <v>150724</v>
      </c>
      <c r="BJ36" s="20">
        <v>138221</v>
      </c>
      <c r="BK36" s="20">
        <v>164666</v>
      </c>
      <c r="BL36" s="20">
        <v>150977</v>
      </c>
      <c r="BM36" s="20">
        <v>188567</v>
      </c>
      <c r="BN36" s="65">
        <v>197335</v>
      </c>
      <c r="BO36" s="20">
        <v>177360.30188304858</v>
      </c>
      <c r="BP36" s="20">
        <v>180061.7501297897</v>
      </c>
      <c r="BQ36" s="20">
        <v>159854.74301852004</v>
      </c>
      <c r="BR36" s="20">
        <v>141960.82360662741</v>
      </c>
      <c r="BS36" s="20">
        <v>141576</v>
      </c>
      <c r="BT36" s="20">
        <v>142807</v>
      </c>
      <c r="BU36" s="20">
        <f>219096</f>
        <v>219096</v>
      </c>
      <c r="BV36" s="20">
        <f>154488</f>
        <v>154488</v>
      </c>
      <c r="BW36" s="20">
        <v>186747</v>
      </c>
      <c r="BX36" s="20">
        <f>210562</f>
        <v>210562</v>
      </c>
      <c r="BY36" s="20">
        <f>231312</f>
        <v>231312</v>
      </c>
      <c r="BZ36" s="20">
        <f>160847</f>
        <v>160847</v>
      </c>
      <c r="CA36" s="20">
        <v>245630.24278493933</v>
      </c>
    </row>
    <row r="37" spans="1:79" x14ac:dyDescent="0.2">
      <c r="A37" s="22" t="s">
        <v>278</v>
      </c>
      <c r="B37" s="7" t="s">
        <v>30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>AVERAGE(BK37:BN37)</f>
        <v>99888.666666666672</v>
      </c>
      <c r="O37" s="21">
        <f t="shared" si="18"/>
        <v>126128.67869874639</v>
      </c>
      <c r="P37" s="21">
        <v>152928</v>
      </c>
      <c r="Q37" s="21">
        <f>Q29/Q47*1000000</f>
        <v>164418.63951857408</v>
      </c>
      <c r="R37" s="9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0"/>
      <c r="BH37" s="20"/>
      <c r="BI37" s="20"/>
      <c r="BJ37" s="20"/>
      <c r="BK37" s="20"/>
      <c r="BL37" s="20">
        <v>84945</v>
      </c>
      <c r="BM37" s="20">
        <v>97128</v>
      </c>
      <c r="BN37" s="65">
        <v>117593</v>
      </c>
      <c r="BO37" s="20">
        <v>116837.1142246169</v>
      </c>
      <c r="BP37" s="20">
        <v>114475.2441986622</v>
      </c>
      <c r="BQ37" s="20">
        <v>118829.83704499254</v>
      </c>
      <c r="BR37" s="20">
        <v>140549.85070041681</v>
      </c>
      <c r="BS37" s="20">
        <v>147238</v>
      </c>
      <c r="BT37" s="20">
        <v>148820</v>
      </c>
      <c r="BU37" s="20">
        <f>158242</f>
        <v>158242</v>
      </c>
      <c r="BV37" s="20">
        <f>161270</f>
        <v>161270</v>
      </c>
      <c r="BW37" s="20">
        <f>162290</f>
        <v>162290</v>
      </c>
      <c r="BX37" s="20">
        <f>156588</f>
        <v>156588</v>
      </c>
      <c r="BY37" s="20">
        <f>168538</f>
        <v>168538</v>
      </c>
      <c r="BZ37" s="20">
        <f>170361</f>
        <v>170361</v>
      </c>
      <c r="CA37" s="20">
        <v>195406.12948694505</v>
      </c>
    </row>
    <row r="38" spans="1:79" x14ac:dyDescent="0.2">
      <c r="A38" s="28" t="s">
        <v>32</v>
      </c>
      <c r="B38" s="7" t="s">
        <v>33</v>
      </c>
      <c r="C38" s="29"/>
      <c r="D38" s="29">
        <f>SUM(W38:Z38)</f>
        <v>5797</v>
      </c>
      <c r="E38" s="29">
        <f>SUM(AA38:AD38)</f>
        <v>6876</v>
      </c>
      <c r="F38" s="29">
        <f>SUM(AE38:AH38)</f>
        <v>9045</v>
      </c>
      <c r="G38" s="29">
        <f>SUM(AI38:AL38)</f>
        <v>7841</v>
      </c>
      <c r="H38" s="29">
        <f>SUM(AM38:AP38)</f>
        <v>9590</v>
      </c>
      <c r="I38" s="29">
        <f>SUM(AQ38:AT38)</f>
        <v>9916</v>
      </c>
      <c r="J38" s="29">
        <f>SUM(AU38:AX38)</f>
        <v>12312</v>
      </c>
      <c r="K38" s="29">
        <f>SUM(AY38:BB38)</f>
        <v>12040</v>
      </c>
      <c r="L38" s="29">
        <f>SUM(BC38:BF38)</f>
        <v>9725</v>
      </c>
      <c r="M38" s="29">
        <f>SUM(BG38:BJ38)</f>
        <v>8560</v>
      </c>
      <c r="N38" s="29">
        <f t="shared" si="10"/>
        <v>6457</v>
      </c>
      <c r="O38" s="29">
        <f t="shared" ref="O38:O41" si="19">SUM(BO38:BR38)</f>
        <v>11689</v>
      </c>
      <c r="P38" s="29">
        <f t="shared" ref="P38:P41" si="20">SUM(BS38:BV38)</f>
        <v>14304</v>
      </c>
      <c r="Q38" s="29">
        <f t="shared" si="12"/>
        <v>12509</v>
      </c>
      <c r="R38" s="9"/>
      <c r="S38" s="29"/>
      <c r="T38" s="29"/>
      <c r="U38" s="29"/>
      <c r="V38" s="29"/>
      <c r="W38" s="29">
        <v>1338</v>
      </c>
      <c r="X38" s="29">
        <v>1235</v>
      </c>
      <c r="Y38" s="29">
        <v>1390</v>
      </c>
      <c r="Z38" s="29">
        <v>1834</v>
      </c>
      <c r="AA38" s="29">
        <v>1454</v>
      </c>
      <c r="AB38" s="29">
        <v>1548</v>
      </c>
      <c r="AC38" s="29">
        <v>1752</v>
      </c>
      <c r="AD38" s="29">
        <v>2122</v>
      </c>
      <c r="AE38" s="29">
        <v>2300</v>
      </c>
      <c r="AF38" s="29">
        <v>2033</v>
      </c>
      <c r="AG38" s="29">
        <v>1960</v>
      </c>
      <c r="AH38" s="29">
        <v>2752</v>
      </c>
      <c r="AI38" s="29">
        <v>1028</v>
      </c>
      <c r="AJ38" s="29">
        <v>831</v>
      </c>
      <c r="AK38" s="29">
        <v>2525</v>
      </c>
      <c r="AL38" s="29">
        <v>3457</v>
      </c>
      <c r="AM38" s="29">
        <v>2634</v>
      </c>
      <c r="AN38" s="29">
        <v>1886</v>
      </c>
      <c r="AO38" s="29">
        <v>2069</v>
      </c>
      <c r="AP38" s="29">
        <v>3001</v>
      </c>
      <c r="AQ38" s="29">
        <v>2082</v>
      </c>
      <c r="AR38" s="29">
        <v>2321</v>
      </c>
      <c r="AS38" s="29">
        <v>2331</v>
      </c>
      <c r="AT38" s="29">
        <v>3182</v>
      </c>
      <c r="AU38" s="29">
        <f t="shared" ref="AU38:BH38" si="21">SUM(AU39:AU40)</f>
        <v>2573</v>
      </c>
      <c r="AV38" s="29">
        <f t="shared" si="21"/>
        <v>2532</v>
      </c>
      <c r="AW38" s="29">
        <f t="shared" si="21"/>
        <v>2962</v>
      </c>
      <c r="AX38" s="29">
        <f t="shared" si="21"/>
        <v>4245</v>
      </c>
      <c r="AY38" s="29">
        <f t="shared" si="21"/>
        <v>3470</v>
      </c>
      <c r="AZ38" s="29">
        <f t="shared" si="21"/>
        <v>3060</v>
      </c>
      <c r="BA38" s="29">
        <f t="shared" si="21"/>
        <v>2579</v>
      </c>
      <c r="BB38" s="29">
        <f t="shared" si="21"/>
        <v>2931</v>
      </c>
      <c r="BC38" s="29">
        <f t="shared" si="21"/>
        <v>2323</v>
      </c>
      <c r="BD38" s="29">
        <f t="shared" si="21"/>
        <v>1559</v>
      </c>
      <c r="BE38" s="29">
        <f t="shared" si="21"/>
        <v>2706</v>
      </c>
      <c r="BF38" s="29">
        <f t="shared" si="21"/>
        <v>3137</v>
      </c>
      <c r="BG38" s="30">
        <f t="shared" si="21"/>
        <v>1989</v>
      </c>
      <c r="BH38" s="30">
        <f t="shared" si="21"/>
        <v>2297</v>
      </c>
      <c r="BI38" s="30">
        <v>1869</v>
      </c>
      <c r="BJ38" s="30">
        <v>2405</v>
      </c>
      <c r="BK38" s="30">
        <v>1899</v>
      </c>
      <c r="BL38" s="30">
        <v>1216</v>
      </c>
      <c r="BM38" s="30">
        <v>1572</v>
      </c>
      <c r="BN38" s="66">
        <v>1770</v>
      </c>
      <c r="BO38" s="66">
        <f>BO12</f>
        <v>1555</v>
      </c>
      <c r="BP38" s="66">
        <f t="shared" ref="BP38:BR38" si="22">BP12</f>
        <v>2265</v>
      </c>
      <c r="BQ38" s="66">
        <f t="shared" si="22"/>
        <v>3343</v>
      </c>
      <c r="BR38" s="66">
        <f t="shared" si="22"/>
        <v>4526</v>
      </c>
      <c r="BS38" s="66">
        <v>3816</v>
      </c>
      <c r="BT38" s="66">
        <v>3643</v>
      </c>
      <c r="BU38" s="66">
        <f>3368</f>
        <v>3368</v>
      </c>
      <c r="BV38" s="66">
        <f>3477</f>
        <v>3477</v>
      </c>
      <c r="BW38" s="66">
        <f>4075</f>
        <v>4075</v>
      </c>
      <c r="BX38" s="66">
        <f>2479</f>
        <v>2479</v>
      </c>
      <c r="BY38" s="66">
        <f>2772</f>
        <v>2772</v>
      </c>
      <c r="BZ38" s="66">
        <f>3183</f>
        <v>3183</v>
      </c>
      <c r="CA38" s="66">
        <v>1679</v>
      </c>
    </row>
    <row r="39" spans="1:79" x14ac:dyDescent="0.2">
      <c r="A39" s="22" t="s">
        <v>92</v>
      </c>
      <c r="B39" s="7"/>
      <c r="C39" s="21"/>
      <c r="D39" s="21"/>
      <c r="E39" s="21"/>
      <c r="F39" s="21"/>
      <c r="G39" s="21"/>
      <c r="H39" s="21"/>
      <c r="I39" s="21"/>
      <c r="J39" s="21">
        <f>SUM(AU39:AX39)</f>
        <v>5976</v>
      </c>
      <c r="K39" s="21">
        <f>SUM(AY39:BB39)</f>
        <v>5619</v>
      </c>
      <c r="L39" s="21">
        <f>SUM(BC39:BF39)</f>
        <v>4938</v>
      </c>
      <c r="M39" s="21">
        <f>SUM(BG39:BJ39)</f>
        <v>4654</v>
      </c>
      <c r="N39" s="21">
        <f t="shared" si="10"/>
        <v>2645</v>
      </c>
      <c r="O39" s="21">
        <f t="shared" si="19"/>
        <v>4269</v>
      </c>
      <c r="P39" s="21">
        <f t="shared" si="20"/>
        <v>5372</v>
      </c>
      <c r="Q39" s="21">
        <f t="shared" si="12"/>
        <v>4674</v>
      </c>
      <c r="R39" s="9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>
        <v>1142</v>
      </c>
      <c r="AV39" s="21">
        <v>1246</v>
      </c>
      <c r="AW39" s="21">
        <v>1430</v>
      </c>
      <c r="AX39" s="21">
        <v>2158</v>
      </c>
      <c r="AY39" s="21">
        <v>1763</v>
      </c>
      <c r="AZ39" s="21">
        <v>1454</v>
      </c>
      <c r="BA39" s="21">
        <v>1235</v>
      </c>
      <c r="BB39" s="21">
        <v>1167</v>
      </c>
      <c r="BC39" s="21">
        <v>1122</v>
      </c>
      <c r="BD39" s="21">
        <v>640</v>
      </c>
      <c r="BE39" s="21">
        <v>1461</v>
      </c>
      <c r="BF39" s="21">
        <v>1715</v>
      </c>
      <c r="BG39" s="20">
        <v>1030</v>
      </c>
      <c r="BH39" s="20">
        <v>1479</v>
      </c>
      <c r="BI39" s="20">
        <v>999</v>
      </c>
      <c r="BJ39" s="20">
        <v>1146</v>
      </c>
      <c r="BK39" s="20">
        <v>824</v>
      </c>
      <c r="BL39" s="20">
        <v>638</v>
      </c>
      <c r="BM39" s="20">
        <v>565</v>
      </c>
      <c r="BN39" s="20">
        <v>618</v>
      </c>
      <c r="BO39" s="20">
        <v>624</v>
      </c>
      <c r="BP39" s="20">
        <v>782</v>
      </c>
      <c r="BQ39" s="20">
        <v>1256</v>
      </c>
      <c r="BR39" s="20">
        <v>1607</v>
      </c>
      <c r="BS39" s="20">
        <v>1856</v>
      </c>
      <c r="BT39" s="20">
        <v>1250</v>
      </c>
      <c r="BU39" s="20">
        <f>1136</f>
        <v>1136</v>
      </c>
      <c r="BV39" s="20">
        <f>1130</f>
        <v>1130</v>
      </c>
      <c r="BW39" s="20">
        <f>1650</f>
        <v>1650</v>
      </c>
      <c r="BX39" s="20">
        <f>857</f>
        <v>857</v>
      </c>
      <c r="BY39" s="20">
        <f>1173</f>
        <v>1173</v>
      </c>
      <c r="BZ39" s="20">
        <f>994</f>
        <v>994</v>
      </c>
      <c r="CA39" s="20">
        <v>646</v>
      </c>
    </row>
    <row r="40" spans="1:79" x14ac:dyDescent="0.2">
      <c r="A40" s="22" t="s">
        <v>93</v>
      </c>
      <c r="B40" s="7"/>
      <c r="C40" s="21"/>
      <c r="D40" s="21"/>
      <c r="E40" s="21"/>
      <c r="F40" s="21"/>
      <c r="G40" s="21"/>
      <c r="H40" s="21"/>
      <c r="I40" s="21"/>
      <c r="J40" s="21">
        <f>SUM(AU40:AX40)</f>
        <v>6336</v>
      </c>
      <c r="K40" s="21">
        <f>SUM(AY40:BB40)</f>
        <v>6421</v>
      </c>
      <c r="L40" s="21">
        <f>SUM(BC40:BF40)</f>
        <v>4787</v>
      </c>
      <c r="M40" s="21">
        <f>SUM(BG40:BJ40)</f>
        <v>3906</v>
      </c>
      <c r="N40" s="21">
        <f t="shared" si="10"/>
        <v>2609</v>
      </c>
      <c r="O40" s="21">
        <f t="shared" si="19"/>
        <v>3456</v>
      </c>
      <c r="P40" s="21">
        <f t="shared" si="20"/>
        <v>4795</v>
      </c>
      <c r="Q40" s="21">
        <f t="shared" si="12"/>
        <v>4650</v>
      </c>
      <c r="R40" s="9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>
        <v>1431</v>
      </c>
      <c r="AV40" s="21">
        <v>1286</v>
      </c>
      <c r="AW40" s="21">
        <v>1532</v>
      </c>
      <c r="AX40" s="21">
        <v>2087</v>
      </c>
      <c r="AY40" s="21">
        <v>1707</v>
      </c>
      <c r="AZ40" s="21">
        <v>1606</v>
      </c>
      <c r="BA40" s="21">
        <v>1344</v>
      </c>
      <c r="BB40" s="21">
        <v>1764</v>
      </c>
      <c r="BC40" s="21">
        <v>1201</v>
      </c>
      <c r="BD40" s="21">
        <v>919</v>
      </c>
      <c r="BE40" s="21">
        <v>1245</v>
      </c>
      <c r="BF40" s="21">
        <v>1422</v>
      </c>
      <c r="BG40" s="20">
        <v>959</v>
      </c>
      <c r="BH40" s="20">
        <v>818</v>
      </c>
      <c r="BI40" s="20">
        <v>870</v>
      </c>
      <c r="BJ40" s="20">
        <v>1259</v>
      </c>
      <c r="BK40" s="20">
        <v>1075</v>
      </c>
      <c r="BL40" s="20">
        <v>460</v>
      </c>
      <c r="BM40" s="20">
        <v>541</v>
      </c>
      <c r="BN40" s="20">
        <v>533</v>
      </c>
      <c r="BO40" s="20">
        <v>398</v>
      </c>
      <c r="BP40" s="20">
        <v>715</v>
      </c>
      <c r="BQ40" s="20">
        <v>947</v>
      </c>
      <c r="BR40" s="20">
        <v>1396</v>
      </c>
      <c r="BS40" s="20">
        <v>902</v>
      </c>
      <c r="BT40" s="20">
        <v>1078</v>
      </c>
      <c r="BU40" s="20">
        <f>1247</f>
        <v>1247</v>
      </c>
      <c r="BV40" s="20">
        <f>1568</f>
        <v>1568</v>
      </c>
      <c r="BW40" s="20">
        <f>1535</f>
        <v>1535</v>
      </c>
      <c r="BX40" s="20">
        <f>908</f>
        <v>908</v>
      </c>
      <c r="BY40" s="20">
        <f>903</f>
        <v>903</v>
      </c>
      <c r="BZ40" s="20">
        <f>1304</f>
        <v>1304</v>
      </c>
      <c r="CA40" s="20">
        <v>503</v>
      </c>
    </row>
    <row r="41" spans="1:79" x14ac:dyDescent="0.2">
      <c r="A41" s="22" t="s">
        <v>278</v>
      </c>
      <c r="B41" s="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>
        <f>SUM(BK41:BN41)</f>
        <v>1203</v>
      </c>
      <c r="O41" s="21">
        <f t="shared" si="19"/>
        <v>3964</v>
      </c>
      <c r="P41" s="21">
        <f t="shared" si="20"/>
        <v>4137</v>
      </c>
      <c r="Q41" s="21">
        <f t="shared" si="12"/>
        <v>3185</v>
      </c>
      <c r="R41" s="9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0"/>
      <c r="BH41" s="20"/>
      <c r="BI41" s="20"/>
      <c r="BJ41" s="20"/>
      <c r="BK41" s="20"/>
      <c r="BL41" s="20">
        <v>118</v>
      </c>
      <c r="BM41" s="20">
        <v>466</v>
      </c>
      <c r="BN41" s="20">
        <v>619</v>
      </c>
      <c r="BO41" s="20">
        <v>533</v>
      </c>
      <c r="BP41" s="20">
        <v>768</v>
      </c>
      <c r="BQ41" s="20">
        <v>1140</v>
      </c>
      <c r="BR41" s="20">
        <v>1523</v>
      </c>
      <c r="BS41" s="20">
        <v>1058</v>
      </c>
      <c r="BT41" s="20">
        <v>1315</v>
      </c>
      <c r="BU41" s="20">
        <f>985</f>
        <v>985</v>
      </c>
      <c r="BV41" s="20">
        <f>779</f>
        <v>779</v>
      </c>
      <c r="BW41" s="20">
        <f>890</f>
        <v>890</v>
      </c>
      <c r="BX41" s="20">
        <f>714</f>
        <v>714</v>
      </c>
      <c r="BY41" s="20">
        <f>696</f>
        <v>696</v>
      </c>
      <c r="BZ41" s="20">
        <f>885</f>
        <v>885</v>
      </c>
      <c r="CA41" s="20">
        <v>530</v>
      </c>
    </row>
    <row r="42" spans="1:79" x14ac:dyDescent="0.2">
      <c r="A42" s="23"/>
      <c r="B42" s="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9"/>
      <c r="R42" s="9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0"/>
      <c r="BH42" s="20"/>
      <c r="BI42" s="20"/>
      <c r="BJ42" s="20"/>
      <c r="BK42" s="20"/>
      <c r="BL42" s="20"/>
      <c r="BM42" s="20"/>
      <c r="BT42" s="6"/>
      <c r="BU42" s="6"/>
      <c r="BV42" s="6"/>
      <c r="BW42" s="6"/>
      <c r="BX42" s="6"/>
      <c r="BY42" s="6"/>
      <c r="BZ42" s="6"/>
      <c r="CA42" s="6"/>
    </row>
    <row r="43" spans="1:79" x14ac:dyDescent="0.2">
      <c r="A43" s="5" t="s">
        <v>91</v>
      </c>
      <c r="B43" s="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9"/>
      <c r="R43" s="9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0"/>
      <c r="BH43" s="20"/>
      <c r="BI43" s="20"/>
      <c r="BJ43" s="20"/>
      <c r="BK43" s="9"/>
      <c r="BL43" s="9"/>
      <c r="BM43" s="9"/>
      <c r="BT43" s="6"/>
      <c r="BU43" s="6"/>
      <c r="BV43" s="6"/>
      <c r="BW43" s="6"/>
      <c r="BX43" s="6"/>
      <c r="BY43" s="6"/>
      <c r="BZ43" s="6"/>
      <c r="CA43" s="6"/>
    </row>
    <row r="44" spans="1:79" x14ac:dyDescent="0.2">
      <c r="A44" s="28" t="s">
        <v>27</v>
      </c>
      <c r="B44" s="7" t="s">
        <v>38</v>
      </c>
      <c r="C44" s="29">
        <f>SUM(S44:V44)</f>
        <v>270012</v>
      </c>
      <c r="D44" s="29">
        <f>SUM(W44:Z44)</f>
        <v>316466</v>
      </c>
      <c r="E44" s="29">
        <f>SUM(AA44:AD44)</f>
        <v>356075</v>
      </c>
      <c r="F44" s="29">
        <f>SUM(AE44:AH44)</f>
        <v>457055</v>
      </c>
      <c r="G44" s="29">
        <f>SUM(AI44:AL44)</f>
        <v>385252</v>
      </c>
      <c r="H44" s="29">
        <f>SUM(AM44:AP44)</f>
        <v>496008</v>
      </c>
      <c r="I44" s="29">
        <f>SUM(AQ44:AT44)</f>
        <v>512161</v>
      </c>
      <c r="J44" s="29">
        <f t="shared" ref="J44:J50" si="23">SUM(AU44:AX44)</f>
        <v>627996</v>
      </c>
      <c r="K44" s="29">
        <f t="shared" ref="K44:K50" si="24">SUM(AY44:BB44)</f>
        <v>630399.1100000001</v>
      </c>
      <c r="L44" s="29">
        <f t="shared" ref="L44:L50" si="25">SUM(BC44:BF44)</f>
        <v>538194.04</v>
      </c>
      <c r="M44" s="29">
        <f>SUM(BG44:BJ44)</f>
        <v>446479.84000000008</v>
      </c>
      <c r="N44" s="29">
        <f>SUM(BK44:BN44)</f>
        <v>292395</v>
      </c>
      <c r="O44" s="29">
        <f t="shared" ref="O44:O51" si="26">SUM(BO44:BR44)</f>
        <v>547234.76</v>
      </c>
      <c r="P44" s="29">
        <f t="shared" ref="P44:P51" si="27">SUM(BS44:BV44)</f>
        <v>699959.08999999985</v>
      </c>
      <c r="Q44" s="29">
        <f t="shared" si="12"/>
        <v>671436.56999999983</v>
      </c>
      <c r="R44" s="28"/>
      <c r="S44" s="29">
        <v>59638</v>
      </c>
      <c r="T44" s="29">
        <v>62544</v>
      </c>
      <c r="U44" s="29">
        <v>63737</v>
      </c>
      <c r="V44" s="29">
        <v>84093</v>
      </c>
      <c r="W44" s="29">
        <v>77726</v>
      </c>
      <c r="X44" s="29">
        <v>69155</v>
      </c>
      <c r="Y44" s="29">
        <v>75102</v>
      </c>
      <c r="Z44" s="29">
        <v>94483</v>
      </c>
      <c r="AA44" s="29">
        <v>73481</v>
      </c>
      <c r="AB44" s="29">
        <v>80042</v>
      </c>
      <c r="AC44" s="29">
        <v>92755</v>
      </c>
      <c r="AD44" s="29">
        <v>109797</v>
      </c>
      <c r="AE44" s="29">
        <v>109060</v>
      </c>
      <c r="AF44" s="29">
        <v>94914</v>
      </c>
      <c r="AG44" s="29">
        <v>106039</v>
      </c>
      <c r="AH44" s="29">
        <v>147042</v>
      </c>
      <c r="AI44" s="29">
        <v>46990</v>
      </c>
      <c r="AJ44" s="29">
        <v>41973</v>
      </c>
      <c r="AK44" s="29">
        <v>121522</v>
      </c>
      <c r="AL44" s="29">
        <v>174767</v>
      </c>
      <c r="AM44" s="29">
        <v>135003</v>
      </c>
      <c r="AN44" s="29">
        <v>100599</v>
      </c>
      <c r="AO44" s="29">
        <v>106661</v>
      </c>
      <c r="AP44" s="29">
        <v>153745</v>
      </c>
      <c r="AQ44" s="29">
        <v>113646</v>
      </c>
      <c r="AR44" s="29">
        <v>122427</v>
      </c>
      <c r="AS44" s="29">
        <v>113979</v>
      </c>
      <c r="AT44" s="29">
        <v>162109</v>
      </c>
      <c r="AU44" s="29">
        <f t="shared" ref="AU44:BH44" si="28">SUM(AU45:AU46)</f>
        <v>134075</v>
      </c>
      <c r="AV44" s="29">
        <f t="shared" si="28"/>
        <v>128468</v>
      </c>
      <c r="AW44" s="29">
        <f t="shared" si="28"/>
        <v>154097</v>
      </c>
      <c r="AX44" s="29">
        <f t="shared" si="28"/>
        <v>211356</v>
      </c>
      <c r="AY44" s="29">
        <f t="shared" si="28"/>
        <v>167954.35</v>
      </c>
      <c r="AZ44" s="29">
        <f t="shared" si="28"/>
        <v>154257.26999999999</v>
      </c>
      <c r="BA44" s="29">
        <f t="shared" si="28"/>
        <v>136657.72000000003</v>
      </c>
      <c r="BB44" s="29">
        <f t="shared" si="28"/>
        <v>171529.77000000008</v>
      </c>
      <c r="BC44" s="29">
        <f t="shared" si="28"/>
        <v>125971.08000000002</v>
      </c>
      <c r="BD44" s="29">
        <f t="shared" si="28"/>
        <v>94984.22</v>
      </c>
      <c r="BE44" s="29">
        <f t="shared" si="28"/>
        <v>150450.69999999992</v>
      </c>
      <c r="BF44" s="29">
        <f t="shared" si="28"/>
        <v>166788.04000000004</v>
      </c>
      <c r="BG44" s="29">
        <f t="shared" si="28"/>
        <v>98670.300000000032</v>
      </c>
      <c r="BH44" s="29">
        <f t="shared" si="28"/>
        <v>122269.54000000005</v>
      </c>
      <c r="BI44" s="30">
        <v>96470</v>
      </c>
      <c r="BJ44" s="30">
        <v>129070</v>
      </c>
      <c r="BK44" s="30">
        <v>90439</v>
      </c>
      <c r="BL44" s="30">
        <v>53036</v>
      </c>
      <c r="BM44" s="30">
        <v>66986</v>
      </c>
      <c r="BN44" s="66">
        <v>81934</v>
      </c>
      <c r="BO44" s="66">
        <f>BO17</f>
        <v>73632.870000000039</v>
      </c>
      <c r="BP44" s="66">
        <f t="shared" ref="BP44:BR44" si="29">BP17</f>
        <v>110647.41</v>
      </c>
      <c r="BQ44" s="66">
        <f t="shared" si="29"/>
        <v>156337.03</v>
      </c>
      <c r="BR44" s="66">
        <f t="shared" si="29"/>
        <v>206617.44999999995</v>
      </c>
      <c r="BS44" s="66">
        <v>189205</v>
      </c>
      <c r="BT44" s="66">
        <v>195951.15999999989</v>
      </c>
      <c r="BU44" s="66">
        <v>157360.99999999997</v>
      </c>
      <c r="BV44" s="66">
        <v>157441.93</v>
      </c>
      <c r="BW44" s="66">
        <v>192077.43000000005</v>
      </c>
      <c r="BX44" s="66">
        <v>103677.55000000002</v>
      </c>
      <c r="BY44" s="66">
        <v>175226.06999999983</v>
      </c>
      <c r="BZ44" s="66">
        <v>200455.51999999996</v>
      </c>
      <c r="CA44" s="66">
        <v>89972.76999999999</v>
      </c>
    </row>
    <row r="45" spans="1:79" x14ac:dyDescent="0.2">
      <c r="A45" s="22" t="s">
        <v>92</v>
      </c>
      <c r="B45" s="7" t="s">
        <v>38</v>
      </c>
      <c r="C45" s="21"/>
      <c r="D45" s="21"/>
      <c r="E45" s="21"/>
      <c r="F45" s="21"/>
      <c r="G45" s="21"/>
      <c r="H45" s="21"/>
      <c r="I45" s="21"/>
      <c r="J45" s="21">
        <f t="shared" si="23"/>
        <v>303334</v>
      </c>
      <c r="K45" s="21">
        <f t="shared" si="24"/>
        <v>302559.66000000003</v>
      </c>
      <c r="L45" s="21">
        <f>SUM(BC45:BF45)</f>
        <v>272421.21999999997</v>
      </c>
      <c r="M45" s="21">
        <f>SUM(BG45:BJ45)</f>
        <v>237411.64000000007</v>
      </c>
      <c r="N45" s="21">
        <f t="shared" si="10"/>
        <v>121371</v>
      </c>
      <c r="O45" s="21">
        <f t="shared" si="26"/>
        <v>210598.25999999995</v>
      </c>
      <c r="P45" s="21">
        <f t="shared" si="27"/>
        <v>248514</v>
      </c>
      <c r="Q45" s="21">
        <f t="shared" si="12"/>
        <v>333105.71000000008</v>
      </c>
      <c r="R45" s="9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112">
        <v>59469</v>
      </c>
      <c r="AV45" s="112">
        <v>60065</v>
      </c>
      <c r="AW45" s="112">
        <v>77106</v>
      </c>
      <c r="AX45" s="112">
        <v>106694</v>
      </c>
      <c r="AY45" s="112">
        <v>86148.08</v>
      </c>
      <c r="AZ45" s="112">
        <v>75252.180000000022</v>
      </c>
      <c r="BA45" s="112">
        <v>71074.990000000005</v>
      </c>
      <c r="BB45" s="112">
        <v>70084.410000000033</v>
      </c>
      <c r="BC45" s="112">
        <v>59171.260000000038</v>
      </c>
      <c r="BD45" s="112">
        <v>46766.600000000006</v>
      </c>
      <c r="BE45" s="112">
        <v>80013.769999999946</v>
      </c>
      <c r="BF45" s="112">
        <v>86469.59</v>
      </c>
      <c r="BG45" s="34">
        <v>51765.600000000035</v>
      </c>
      <c r="BH45" s="34">
        <v>79351.850000000049</v>
      </c>
      <c r="BI45" s="20">
        <v>49444.9</v>
      </c>
      <c r="BJ45" s="20">
        <v>56849.29</v>
      </c>
      <c r="BK45" s="20">
        <v>42536</v>
      </c>
      <c r="BL45" s="20">
        <v>25114</v>
      </c>
      <c r="BM45" s="20">
        <v>25228</v>
      </c>
      <c r="BN45" s="65">
        <v>28493</v>
      </c>
      <c r="BO45" s="20">
        <v>29529.599999999999</v>
      </c>
      <c r="BP45" s="20">
        <v>40979.620000000003</v>
      </c>
      <c r="BQ45" s="20">
        <v>60858.509999999987</v>
      </c>
      <c r="BR45" s="20">
        <v>79230.529999999984</v>
      </c>
      <c r="BS45" s="20">
        <v>89179</v>
      </c>
      <c r="BT45" s="20">
        <v>58272</v>
      </c>
      <c r="BU45" s="20">
        <v>55445</v>
      </c>
      <c r="BV45" s="20">
        <v>45618</v>
      </c>
      <c r="BW45" s="20">
        <v>89391.600000000035</v>
      </c>
      <c r="BX45" s="20">
        <v>32466.599999999991</v>
      </c>
      <c r="BY45" s="20">
        <v>94067.400000000023</v>
      </c>
      <c r="BZ45" s="20">
        <v>117180.11000000002</v>
      </c>
      <c r="CA45" s="20">
        <v>41848.1</v>
      </c>
    </row>
    <row r="46" spans="1:79" x14ac:dyDescent="0.2">
      <c r="A46" s="22" t="s">
        <v>93</v>
      </c>
      <c r="B46" s="7" t="s">
        <v>38</v>
      </c>
      <c r="C46" s="21"/>
      <c r="D46" s="21"/>
      <c r="E46" s="21"/>
      <c r="F46" s="21"/>
      <c r="G46" s="21"/>
      <c r="H46" s="21"/>
      <c r="I46" s="21"/>
      <c r="J46" s="21">
        <f t="shared" si="23"/>
        <v>324662</v>
      </c>
      <c r="K46" s="21">
        <f t="shared" si="24"/>
        <v>327839.45000000007</v>
      </c>
      <c r="L46" s="21">
        <f>SUM(BC46:BF46)</f>
        <v>265772.81999999995</v>
      </c>
      <c r="M46" s="21">
        <f>SUM(BG46:BJ46)</f>
        <v>209068.39</v>
      </c>
      <c r="N46" s="21">
        <f t="shared" si="10"/>
        <v>120619</v>
      </c>
      <c r="O46" s="21">
        <f t="shared" si="26"/>
        <v>148232.03</v>
      </c>
      <c r="P46" s="21">
        <f t="shared" si="27"/>
        <v>250849.21999999997</v>
      </c>
      <c r="Q46" s="21">
        <f t="shared" si="12"/>
        <v>199883.81</v>
      </c>
      <c r="R46" s="9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112">
        <v>74606</v>
      </c>
      <c r="AV46" s="112">
        <v>68403</v>
      </c>
      <c r="AW46" s="112">
        <v>76991</v>
      </c>
      <c r="AX46" s="112">
        <v>104662</v>
      </c>
      <c r="AY46" s="112">
        <v>81806.27</v>
      </c>
      <c r="AZ46" s="112">
        <v>79005.089999999967</v>
      </c>
      <c r="BA46" s="112">
        <v>65582.73000000001</v>
      </c>
      <c r="BB46" s="112">
        <v>101445.36000000004</v>
      </c>
      <c r="BC46" s="112">
        <v>66799.819999999978</v>
      </c>
      <c r="BD46" s="112">
        <v>48217.619999999995</v>
      </c>
      <c r="BE46" s="112">
        <v>70436.929999999978</v>
      </c>
      <c r="BF46" s="112">
        <v>80318.450000000026</v>
      </c>
      <c r="BG46" s="34">
        <v>46904.7</v>
      </c>
      <c r="BH46" s="34">
        <v>42917.69</v>
      </c>
      <c r="BI46" s="20">
        <v>47026</v>
      </c>
      <c r="BJ46" s="20">
        <v>72220</v>
      </c>
      <c r="BK46" s="20">
        <v>47903</v>
      </c>
      <c r="BL46" s="20">
        <v>23413</v>
      </c>
      <c r="BM46" s="20">
        <v>23769</v>
      </c>
      <c r="BN46" s="65">
        <v>25534</v>
      </c>
      <c r="BO46" s="20">
        <v>18949.059999999998</v>
      </c>
      <c r="BP46" s="20">
        <v>34151.409999999996</v>
      </c>
      <c r="BQ46" s="20">
        <v>40464.200000000004</v>
      </c>
      <c r="BR46" s="20">
        <v>54667.360000000001</v>
      </c>
      <c r="BS46" s="20">
        <v>48654.859999999993</v>
      </c>
      <c r="BT46" s="20">
        <v>72584.56</v>
      </c>
      <c r="BU46" s="20">
        <v>54977.8</v>
      </c>
      <c r="BV46" s="20">
        <v>74632.000000000015</v>
      </c>
      <c r="BW46" s="20">
        <v>63817.410000000011</v>
      </c>
      <c r="BX46" s="20">
        <v>38400.959999999999</v>
      </c>
      <c r="BY46" s="20">
        <v>49838.2</v>
      </c>
      <c r="BZ46" s="20">
        <v>47827.240000000005</v>
      </c>
      <c r="CA46" s="20">
        <v>22201.13</v>
      </c>
    </row>
    <row r="47" spans="1:79" x14ac:dyDescent="0.2">
      <c r="A47" s="22" t="s">
        <v>278</v>
      </c>
      <c r="B47" s="7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>
        <f>SUM(BK47:BN47)</f>
        <v>50405</v>
      </c>
      <c r="O47" s="21">
        <f t="shared" si="26"/>
        <v>188350.37</v>
      </c>
      <c r="P47" s="21">
        <f>SUM(BS47:BV47)</f>
        <v>200596.29</v>
      </c>
      <c r="Q47" s="21">
        <f t="shared" si="12"/>
        <v>138447.04999999999</v>
      </c>
      <c r="R47" s="9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34"/>
      <c r="BH47" s="34"/>
      <c r="BI47" s="20"/>
      <c r="BJ47" s="20"/>
      <c r="BK47" s="20"/>
      <c r="BL47" s="20">
        <v>4509</v>
      </c>
      <c r="BM47" s="20">
        <v>17989</v>
      </c>
      <c r="BN47" s="20">
        <v>27907</v>
      </c>
      <c r="BO47" s="20">
        <v>25154.21</v>
      </c>
      <c r="BP47" s="20">
        <v>35503.880000000005</v>
      </c>
      <c r="BQ47" s="20">
        <v>54972.719999999987</v>
      </c>
      <c r="BR47" s="20">
        <v>72719.559999999983</v>
      </c>
      <c r="BS47" s="20">
        <v>51370.71</v>
      </c>
      <c r="BT47" s="20">
        <v>65094.930000000008</v>
      </c>
      <c r="BU47" s="20">
        <v>46938.42</v>
      </c>
      <c r="BV47" s="20">
        <v>37192.23000000001</v>
      </c>
      <c r="BW47" s="20">
        <v>38868.42</v>
      </c>
      <c r="BX47" s="20">
        <v>32809.99</v>
      </c>
      <c r="BY47" s="20">
        <v>31320.469999999994</v>
      </c>
      <c r="BZ47" s="20">
        <v>35448.17</v>
      </c>
      <c r="CA47" s="20">
        <v>25923.54</v>
      </c>
    </row>
    <row r="48" spans="1:79" x14ac:dyDescent="0.2">
      <c r="A48" s="28" t="s">
        <v>39</v>
      </c>
      <c r="B48" s="7" t="s">
        <v>38</v>
      </c>
      <c r="C48" s="29">
        <v>328435</v>
      </c>
      <c r="D48" s="29">
        <v>363120</v>
      </c>
      <c r="E48" s="29">
        <v>468248</v>
      </c>
      <c r="F48" s="29">
        <v>583483</v>
      </c>
      <c r="G48" s="29">
        <v>502203</v>
      </c>
      <c r="H48" s="29">
        <v>420325</v>
      </c>
      <c r="I48" s="29">
        <f>SUM(AQ48:AT48)</f>
        <v>422946</v>
      </c>
      <c r="J48" s="29">
        <f t="shared" si="23"/>
        <v>479339</v>
      </c>
      <c r="K48" s="29">
        <f t="shared" si="24"/>
        <v>621866.93999999994</v>
      </c>
      <c r="L48" s="29">
        <f t="shared" si="25"/>
        <v>540325.10000000009</v>
      </c>
      <c r="M48" s="29">
        <f>SUM(BG48:BJ48)</f>
        <v>421209.4</v>
      </c>
      <c r="N48" s="29">
        <f t="shared" si="10"/>
        <v>734773</v>
      </c>
      <c r="O48" s="29">
        <f t="shared" si="26"/>
        <v>416726.2</v>
      </c>
      <c r="P48" s="29">
        <f t="shared" si="27"/>
        <v>161232</v>
      </c>
      <c r="Q48" s="29">
        <f t="shared" si="12"/>
        <v>483472</v>
      </c>
      <c r="R48" s="28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>
        <v>0</v>
      </c>
      <c r="AR48" s="29">
        <v>107796.6</v>
      </c>
      <c r="AS48" s="29">
        <v>19771.7</v>
      </c>
      <c r="AT48" s="29">
        <v>295377.7</v>
      </c>
      <c r="AU48" s="29">
        <v>0</v>
      </c>
      <c r="AV48" s="29">
        <v>0</v>
      </c>
      <c r="AW48" s="30">
        <f t="shared" ref="AW48:BH48" si="30">SUM(AW49:AW50)</f>
        <v>56270</v>
      </c>
      <c r="AX48" s="30">
        <f t="shared" si="30"/>
        <v>423069</v>
      </c>
      <c r="AY48" s="30">
        <f t="shared" si="30"/>
        <v>34538.639999999999</v>
      </c>
      <c r="AZ48" s="30">
        <f t="shared" si="30"/>
        <v>211804.59999999998</v>
      </c>
      <c r="BA48" s="30">
        <f t="shared" si="30"/>
        <v>67230.100000000006</v>
      </c>
      <c r="BB48" s="30">
        <f t="shared" si="30"/>
        <v>308293.60000000003</v>
      </c>
      <c r="BC48" s="30">
        <f t="shared" si="30"/>
        <v>88512.6</v>
      </c>
      <c r="BD48" s="30">
        <f t="shared" si="30"/>
        <v>88846.8</v>
      </c>
      <c r="BE48" s="30">
        <f t="shared" si="30"/>
        <v>15569.7</v>
      </c>
      <c r="BF48" s="30">
        <f t="shared" si="30"/>
        <v>347396</v>
      </c>
      <c r="BG48" s="30">
        <f t="shared" si="30"/>
        <v>3028.4</v>
      </c>
      <c r="BH48" s="30">
        <f t="shared" si="30"/>
        <v>0</v>
      </c>
      <c r="BI48" s="30">
        <v>181071</v>
      </c>
      <c r="BJ48" s="30">
        <v>237110</v>
      </c>
      <c r="BK48" s="30">
        <v>175693</v>
      </c>
      <c r="BL48" s="30">
        <v>58981</v>
      </c>
      <c r="BM48" s="30">
        <v>91295</v>
      </c>
      <c r="BN48" s="66">
        <v>408804</v>
      </c>
      <c r="BO48" s="66">
        <f>BO18</f>
        <v>88068.2</v>
      </c>
      <c r="BP48" s="66">
        <f t="shared" ref="BP48:BR48" si="31">BP18</f>
        <v>107671.70000000001</v>
      </c>
      <c r="BQ48" s="66">
        <f t="shared" si="31"/>
        <v>43235.3</v>
      </c>
      <c r="BR48" s="66">
        <f t="shared" si="31"/>
        <v>177751</v>
      </c>
      <c r="BS48" s="66">
        <v>0</v>
      </c>
      <c r="BT48" s="66">
        <v>50919</v>
      </c>
      <c r="BU48" s="66">
        <f>35495</f>
        <v>35495</v>
      </c>
      <c r="BV48" s="66">
        <f>74818</f>
        <v>74818</v>
      </c>
      <c r="BW48" s="66">
        <f>73153</f>
        <v>73153</v>
      </c>
      <c r="BX48" s="66">
        <f>90700</f>
        <v>90700</v>
      </c>
      <c r="BY48" s="66">
        <f>149778</f>
        <v>149778</v>
      </c>
      <c r="BZ48" s="66">
        <f>169841</f>
        <v>169841</v>
      </c>
      <c r="CA48" s="66">
        <v>236548.1</v>
      </c>
    </row>
    <row r="49" spans="1:79" x14ac:dyDescent="0.2">
      <c r="A49" s="22" t="s">
        <v>92</v>
      </c>
      <c r="B49" s="7" t="s">
        <v>38</v>
      </c>
      <c r="C49" s="21"/>
      <c r="D49" s="21"/>
      <c r="E49" s="21"/>
      <c r="F49" s="21"/>
      <c r="G49" s="21"/>
      <c r="H49" s="21"/>
      <c r="I49" s="21"/>
      <c r="J49" s="21">
        <f t="shared" si="23"/>
        <v>225798</v>
      </c>
      <c r="K49" s="21">
        <f t="shared" si="24"/>
        <v>353129.14</v>
      </c>
      <c r="L49" s="21">
        <f t="shared" si="25"/>
        <v>193424.6</v>
      </c>
      <c r="M49" s="21">
        <f t="shared" ref="M49" si="32">SUM(BG49:BJ49)</f>
        <v>176067.4</v>
      </c>
      <c r="N49" s="21">
        <f t="shared" si="10"/>
        <v>343972</v>
      </c>
      <c r="O49" s="21">
        <f t="shared" si="26"/>
        <v>205627</v>
      </c>
      <c r="P49" s="21">
        <f t="shared" si="27"/>
        <v>24271</v>
      </c>
      <c r="Q49" s="21">
        <f t="shared" si="12"/>
        <v>124249</v>
      </c>
      <c r="R49" s="9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112" t="s">
        <v>94</v>
      </c>
      <c r="AV49" s="112" t="s">
        <v>94</v>
      </c>
      <c r="AW49" s="112">
        <v>0</v>
      </c>
      <c r="AX49" s="112">
        <v>225798</v>
      </c>
      <c r="AY49" s="112">
        <v>34538.639999999999</v>
      </c>
      <c r="AZ49" s="112">
        <v>211804.59999999998</v>
      </c>
      <c r="BA49" s="112">
        <v>4304.3999999999996</v>
      </c>
      <c r="BB49" s="112">
        <v>102481.50000000001</v>
      </c>
      <c r="BC49" s="112">
        <v>88512.6</v>
      </c>
      <c r="BD49" s="112">
        <v>15375.300000000001</v>
      </c>
      <c r="BE49" s="112">
        <v>15569.7</v>
      </c>
      <c r="BF49" s="112">
        <v>73967</v>
      </c>
      <c r="BG49" s="112">
        <v>3028.4</v>
      </c>
      <c r="BH49" s="112">
        <v>0</v>
      </c>
      <c r="BI49" s="112">
        <v>87161</v>
      </c>
      <c r="BJ49" s="112">
        <v>85878</v>
      </c>
      <c r="BK49" s="112">
        <v>175693</v>
      </c>
      <c r="BL49" s="112">
        <v>18203</v>
      </c>
      <c r="BM49" s="112">
        <v>56250</v>
      </c>
      <c r="BN49" s="112">
        <v>93826</v>
      </c>
      <c r="BO49" s="112">
        <v>0</v>
      </c>
      <c r="BP49" s="112">
        <v>48729.599999999999</v>
      </c>
      <c r="BQ49" s="112">
        <v>18036.7</v>
      </c>
      <c r="BR49" s="112">
        <v>138860.70000000001</v>
      </c>
      <c r="BS49" s="112">
        <v>0</v>
      </c>
      <c r="BT49" s="112">
        <v>0</v>
      </c>
      <c r="BU49" s="112">
        <f>0</f>
        <v>0</v>
      </c>
      <c r="BV49" s="112">
        <f>24271</f>
        <v>24271</v>
      </c>
      <c r="BW49" s="112">
        <v>38035.5</v>
      </c>
      <c r="BX49" s="112">
        <v>17677.7</v>
      </c>
      <c r="BY49" s="112">
        <v>13232.2</v>
      </c>
      <c r="BZ49" s="112">
        <v>55303.600000000006</v>
      </c>
      <c r="CA49" s="112">
        <v>169266.7</v>
      </c>
    </row>
    <row r="50" spans="1:79" x14ac:dyDescent="0.2">
      <c r="A50" s="22" t="s">
        <v>93</v>
      </c>
      <c r="B50" s="7" t="s">
        <v>38</v>
      </c>
      <c r="C50" s="21"/>
      <c r="D50" s="21"/>
      <c r="E50" s="21"/>
      <c r="F50" s="21"/>
      <c r="G50" s="21"/>
      <c r="H50" s="21"/>
      <c r="I50" s="21"/>
      <c r="J50" s="21">
        <f t="shared" si="23"/>
        <v>253541</v>
      </c>
      <c r="K50" s="21">
        <f t="shared" si="24"/>
        <v>268737.8</v>
      </c>
      <c r="L50" s="21">
        <f t="shared" si="25"/>
        <v>346900.5</v>
      </c>
      <c r="M50" s="21">
        <f>SUM(BG50:BJ50)</f>
        <v>245141.2</v>
      </c>
      <c r="N50" s="21">
        <f t="shared" si="10"/>
        <v>337579</v>
      </c>
      <c r="O50" s="21">
        <f t="shared" si="26"/>
        <v>140581.4</v>
      </c>
      <c r="P50" s="21">
        <f t="shared" si="27"/>
        <v>73819</v>
      </c>
      <c r="Q50" s="21">
        <f t="shared" si="12"/>
        <v>52222.6</v>
      </c>
      <c r="R50" s="9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112" t="s">
        <v>94</v>
      </c>
      <c r="AV50" s="112" t="s">
        <v>94</v>
      </c>
      <c r="AW50" s="112">
        <v>56270</v>
      </c>
      <c r="AX50" s="112">
        <v>197271</v>
      </c>
      <c r="AY50" s="112">
        <v>0</v>
      </c>
      <c r="AZ50" s="112">
        <v>0</v>
      </c>
      <c r="BA50" s="112">
        <v>62925.700000000004</v>
      </c>
      <c r="BB50" s="112">
        <v>205812.1</v>
      </c>
      <c r="BC50" s="112">
        <v>0</v>
      </c>
      <c r="BD50" s="112">
        <v>73471.5</v>
      </c>
      <c r="BE50" s="112">
        <v>0</v>
      </c>
      <c r="BF50" s="112">
        <v>273429</v>
      </c>
      <c r="BG50" s="112" t="s">
        <v>94</v>
      </c>
      <c r="BH50" s="112">
        <v>0</v>
      </c>
      <c r="BI50" s="112">
        <v>93909.6</v>
      </c>
      <c r="BJ50" s="112">
        <v>151231.6</v>
      </c>
      <c r="BK50" s="112">
        <v>0</v>
      </c>
      <c r="BL50" s="112">
        <v>40778</v>
      </c>
      <c r="BM50" s="112">
        <v>9849</v>
      </c>
      <c r="BN50" s="112">
        <v>286952</v>
      </c>
      <c r="BO50" s="112">
        <v>78583.5</v>
      </c>
      <c r="BP50" s="112">
        <v>58942.1</v>
      </c>
      <c r="BQ50" s="112">
        <v>0</v>
      </c>
      <c r="BR50" s="112">
        <v>3055.8</v>
      </c>
      <c r="BS50" s="112">
        <v>0</v>
      </c>
      <c r="BT50" s="112">
        <v>50919</v>
      </c>
      <c r="BU50" s="112">
        <f>0</f>
        <v>0</v>
      </c>
      <c r="BV50" s="112">
        <f>22900</f>
        <v>22900</v>
      </c>
      <c r="BW50" s="112">
        <f>0</f>
        <v>0</v>
      </c>
      <c r="BX50" s="112">
        <v>35975.1</v>
      </c>
      <c r="BY50" s="112">
        <f>0</f>
        <v>0</v>
      </c>
      <c r="BZ50" s="112">
        <v>16247.5</v>
      </c>
      <c r="CA50" s="112">
        <v>0</v>
      </c>
    </row>
    <row r="51" spans="1:79" x14ac:dyDescent="0.2">
      <c r="A51" s="114" t="s">
        <v>278</v>
      </c>
      <c r="B51" s="16" t="s">
        <v>38</v>
      </c>
      <c r="C51" s="67"/>
      <c r="D51" s="67"/>
      <c r="E51" s="67"/>
      <c r="F51" s="67"/>
      <c r="G51" s="67"/>
      <c r="H51" s="67"/>
      <c r="I51" s="67"/>
      <c r="J51" s="31"/>
      <c r="K51" s="31"/>
      <c r="L51" s="31"/>
      <c r="M51" s="31"/>
      <c r="N51" s="67">
        <f>SUM(BK51:BN51)</f>
        <v>53223</v>
      </c>
      <c r="O51" s="67">
        <f t="shared" si="26"/>
        <v>70517.5</v>
      </c>
      <c r="P51" s="67">
        <f t="shared" si="27"/>
        <v>63142</v>
      </c>
      <c r="Q51" s="26">
        <f t="shared" si="12"/>
        <v>307000.7</v>
      </c>
      <c r="R51" s="9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113"/>
      <c r="BH51" s="113"/>
      <c r="BI51" s="113"/>
      <c r="BJ51" s="113"/>
      <c r="BK51" s="113"/>
      <c r="BL51" s="113"/>
      <c r="BM51" s="113">
        <v>34279</v>
      </c>
      <c r="BN51" s="113">
        <v>18944</v>
      </c>
      <c r="BO51" s="113">
        <v>9484.7000000000007</v>
      </c>
      <c r="BP51" s="113">
        <v>0</v>
      </c>
      <c r="BQ51" s="113">
        <v>25198.6</v>
      </c>
      <c r="BR51" s="113">
        <v>35834.199999999997</v>
      </c>
      <c r="BS51" s="113">
        <v>0</v>
      </c>
      <c r="BT51" s="113">
        <v>0</v>
      </c>
      <c r="BU51" s="113">
        <f>35495</f>
        <v>35495</v>
      </c>
      <c r="BV51" s="113">
        <f>27647</f>
        <v>27647</v>
      </c>
      <c r="BW51" s="113">
        <v>35117</v>
      </c>
      <c r="BX51" s="113">
        <v>37047.5</v>
      </c>
      <c r="BY51" s="113">
        <v>136545.9</v>
      </c>
      <c r="BZ51" s="113">
        <v>98290.3</v>
      </c>
      <c r="CA51" s="113">
        <v>67281.399999999994</v>
      </c>
    </row>
  </sheetData>
  <phoneticPr fontId="33" type="noConversion"/>
  <hyperlinks>
    <hyperlink ref="A3" location="Contents!A1" display="Back to Contents" xr:uid="{0D9EF48F-EEBA-48BF-871E-6740388855EA}"/>
    <hyperlink ref="A22" location="Contents!A1" display="Back to Contents" xr:uid="{F21F4122-5B91-4A41-9FCC-6E225298835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21F7-26B8-4EEB-AAA9-16BB2A94B344}">
  <dimension ref="A2:AU63"/>
  <sheetViews>
    <sheetView showGridLines="0" topLeftCell="A35" zoomScaleNormal="100" workbookViewId="0">
      <pane xSplit="1" topLeftCell="G1" activePane="topRight" state="frozen"/>
      <selection pane="topRight" activeCell="P53" sqref="P53"/>
    </sheetView>
  </sheetViews>
  <sheetFormatPr defaultColWidth="9.140625" defaultRowHeight="14.25" outlineLevelRow="1" outlineLevelCol="1" x14ac:dyDescent="0.2"/>
  <cols>
    <col min="1" max="1" width="54.85546875" style="41" customWidth="1"/>
    <col min="2" max="16" width="9.28515625" style="6" bestFit="1" customWidth="1"/>
    <col min="17" max="17" width="9.140625" style="6"/>
    <col min="18" max="39" width="9.140625" style="6" customWidth="1" outlineLevel="1"/>
    <col min="40" max="43" width="9.28515625" style="6" bestFit="1" customWidth="1" outlineLevel="1"/>
    <col min="44" max="44" width="9.140625" style="41" outlineLevel="1"/>
    <col min="45" max="45" width="8.28515625" style="41" bestFit="1" customWidth="1" outlineLevel="1"/>
    <col min="46" max="47" width="9.140625" style="41" outlineLevel="1"/>
    <col min="48" max="16384" width="9.140625" style="41"/>
  </cols>
  <sheetData>
    <row r="2" spans="1:47" ht="18" x14ac:dyDescent="0.25">
      <c r="A2" s="54" t="s">
        <v>96</v>
      </c>
    </row>
    <row r="3" spans="1:47" x14ac:dyDescent="0.2">
      <c r="A3" s="35" t="s">
        <v>1</v>
      </c>
    </row>
    <row r="5" spans="1:47" x14ac:dyDescent="0.2">
      <c r="A5" s="36" t="s">
        <v>5</v>
      </c>
      <c r="B5" s="74">
        <v>2011</v>
      </c>
      <c r="C5" s="74">
        <v>2012</v>
      </c>
      <c r="D5" s="74">
        <v>2013</v>
      </c>
      <c r="E5" s="74">
        <v>2014</v>
      </c>
      <c r="F5" s="74">
        <v>2015</v>
      </c>
      <c r="G5" s="74">
        <v>2016</v>
      </c>
      <c r="H5" s="74">
        <v>2017</v>
      </c>
      <c r="I5" s="74">
        <v>2018</v>
      </c>
      <c r="J5" s="74">
        <v>2019</v>
      </c>
      <c r="K5" s="74">
        <v>2020</v>
      </c>
      <c r="L5" s="74">
        <v>2021</v>
      </c>
      <c r="M5" s="74">
        <v>2022</v>
      </c>
      <c r="N5" s="74">
        <v>2023</v>
      </c>
      <c r="O5" s="74">
        <v>2024</v>
      </c>
      <c r="P5" s="74">
        <v>2025</v>
      </c>
      <c r="Q5" s="75"/>
      <c r="R5" s="74" t="s">
        <v>97</v>
      </c>
      <c r="S5" s="74" t="s">
        <v>98</v>
      </c>
      <c r="T5" s="74" t="s">
        <v>99</v>
      </c>
      <c r="U5" s="74" t="s">
        <v>100</v>
      </c>
      <c r="V5" s="74" t="s">
        <v>101</v>
      </c>
      <c r="W5" s="74" t="s">
        <v>102</v>
      </c>
      <c r="X5" s="74" t="s">
        <v>103</v>
      </c>
      <c r="Y5" s="74" t="s">
        <v>104</v>
      </c>
      <c r="Z5" s="74" t="s">
        <v>105</v>
      </c>
      <c r="AA5" s="74" t="s">
        <v>106</v>
      </c>
      <c r="AB5" s="74" t="s">
        <v>107</v>
      </c>
      <c r="AC5" s="74" t="s">
        <v>108</v>
      </c>
      <c r="AD5" s="74" t="s">
        <v>109</v>
      </c>
      <c r="AE5" s="74" t="s">
        <v>110</v>
      </c>
      <c r="AF5" s="74" t="s">
        <v>111</v>
      </c>
      <c r="AG5" s="74" t="s">
        <v>112</v>
      </c>
      <c r="AH5" s="74" t="s">
        <v>113</v>
      </c>
      <c r="AI5" s="74" t="s">
        <v>114</v>
      </c>
      <c r="AJ5" s="74" t="s">
        <v>115</v>
      </c>
      <c r="AK5" s="74" t="s">
        <v>116</v>
      </c>
      <c r="AL5" s="90" t="s">
        <v>272</v>
      </c>
      <c r="AM5" s="90" t="s">
        <v>274</v>
      </c>
      <c r="AN5" s="90" t="s">
        <v>280</v>
      </c>
      <c r="AO5" s="90" t="s">
        <v>285</v>
      </c>
      <c r="AP5" s="90" t="s">
        <v>287</v>
      </c>
      <c r="AQ5" s="90" t="s">
        <v>295</v>
      </c>
      <c r="AR5" s="90" t="s">
        <v>302</v>
      </c>
      <c r="AS5" s="90" t="s">
        <v>306</v>
      </c>
      <c r="AT5" s="90" t="s">
        <v>315</v>
      </c>
      <c r="AU5" s="90" t="s">
        <v>320</v>
      </c>
    </row>
    <row r="6" spans="1:47" hidden="1" outlineLevel="1" x14ac:dyDescent="0.2">
      <c r="A6" s="6" t="s">
        <v>117</v>
      </c>
      <c r="B6" s="34">
        <f t="shared" ref="B6:B45" si="0">SUM(R6:S6)</f>
        <v>19359</v>
      </c>
      <c r="C6" s="34">
        <f t="shared" ref="C6:C45" si="1">SUM(T6:U6)</f>
        <v>19424</v>
      </c>
      <c r="D6" s="34">
        <f t="shared" ref="D6:D45" si="2">SUM(V6:W6)</f>
        <v>29548</v>
      </c>
      <c r="E6" s="34">
        <f t="shared" ref="E6:E45" si="3">SUM(X6:Y6)</f>
        <v>37560</v>
      </c>
      <c r="F6" s="34">
        <f t="shared" ref="F6:F45" si="4">SUM(Z6:AA6)</f>
        <v>32474</v>
      </c>
      <c r="G6" s="34">
        <f t="shared" ref="G6:G45" si="5">SUM(AB6:AC6)</f>
        <v>33499</v>
      </c>
      <c r="H6" s="34">
        <f t="shared" ref="H6:H45" si="6">SUM(AD6:AE6)</f>
        <v>54964</v>
      </c>
      <c r="I6" s="34">
        <f t="shared" ref="I6:I45" si="7">SUM(AF6:AG6)</f>
        <v>58072</v>
      </c>
      <c r="J6" s="34">
        <f t="shared" ref="J6:J45" si="8">SUM(AH6:AI6)</f>
        <v>62609</v>
      </c>
      <c r="K6" s="34">
        <f>SUM(AJ6:AK6)</f>
        <v>51801</v>
      </c>
      <c r="L6" s="34">
        <f>SUM(AL6:AM6)</f>
        <v>53384</v>
      </c>
      <c r="M6" s="34"/>
      <c r="N6" s="34"/>
      <c r="O6" s="34"/>
      <c r="P6" s="34"/>
      <c r="R6" s="34">
        <v>8147</v>
      </c>
      <c r="S6" s="34">
        <v>11212</v>
      </c>
      <c r="T6" s="34">
        <v>8329</v>
      </c>
      <c r="U6" s="34">
        <v>11095</v>
      </c>
      <c r="V6" s="34">
        <v>12249</v>
      </c>
      <c r="W6" s="34">
        <v>17299</v>
      </c>
      <c r="X6" s="34">
        <v>8873</v>
      </c>
      <c r="Y6" s="34">
        <v>28687</v>
      </c>
      <c r="Z6" s="34">
        <v>13857</v>
      </c>
      <c r="AA6" s="34">
        <v>18617</v>
      </c>
      <c r="AB6" s="34">
        <v>11828</v>
      </c>
      <c r="AC6" s="34">
        <v>21671</v>
      </c>
      <c r="AD6" s="34">
        <v>21941</v>
      </c>
      <c r="AE6" s="34">
        <v>33023</v>
      </c>
      <c r="AF6" s="34">
        <v>17762</v>
      </c>
      <c r="AG6" s="34">
        <v>40310</v>
      </c>
      <c r="AH6" s="34">
        <v>30229</v>
      </c>
      <c r="AI6" s="34">
        <v>32380</v>
      </c>
      <c r="AJ6" s="34">
        <v>20873</v>
      </c>
      <c r="AK6" s="34">
        <v>30928</v>
      </c>
      <c r="AL6" s="34">
        <v>23120</v>
      </c>
      <c r="AM6" s="34">
        <v>30264</v>
      </c>
      <c r="AN6" s="34"/>
      <c r="AO6" s="34"/>
      <c r="AP6" s="34"/>
      <c r="AQ6" s="34"/>
      <c r="AR6" s="34"/>
      <c r="AS6" s="34"/>
      <c r="AT6" s="34"/>
      <c r="AU6" s="34"/>
    </row>
    <row r="7" spans="1:47" hidden="1" outlineLevel="1" x14ac:dyDescent="0.2">
      <c r="A7" s="6" t="s">
        <v>118</v>
      </c>
      <c r="B7" s="34">
        <f t="shared" si="0"/>
        <v>0</v>
      </c>
      <c r="C7" s="34">
        <f t="shared" si="1"/>
        <v>0</v>
      </c>
      <c r="D7" s="34">
        <f t="shared" si="2"/>
        <v>0</v>
      </c>
      <c r="E7" s="34">
        <f t="shared" si="3"/>
        <v>0</v>
      </c>
      <c r="F7" s="34">
        <f t="shared" si="4"/>
        <v>0</v>
      </c>
      <c r="G7" s="34">
        <f t="shared" si="5"/>
        <v>0</v>
      </c>
      <c r="H7" s="34">
        <f t="shared" si="6"/>
        <v>0</v>
      </c>
      <c r="I7" s="34">
        <f t="shared" si="7"/>
        <v>0</v>
      </c>
      <c r="J7" s="34">
        <f t="shared" si="8"/>
        <v>10875</v>
      </c>
      <c r="K7" s="34">
        <f t="shared" ref="K7:K45" si="9">SUM(AJ7:AK7)</f>
        <v>18675</v>
      </c>
      <c r="L7" s="34">
        <f t="shared" ref="L7:L45" si="10">SUM(AL7:AM7)</f>
        <v>21885</v>
      </c>
      <c r="M7" s="34"/>
      <c r="N7" s="34"/>
      <c r="O7" s="34"/>
      <c r="P7" s="34"/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3686</v>
      </c>
      <c r="AI7" s="34">
        <v>7189</v>
      </c>
      <c r="AJ7" s="34">
        <v>5975</v>
      </c>
      <c r="AK7" s="34">
        <v>12700</v>
      </c>
      <c r="AL7" s="34">
        <v>10022</v>
      </c>
      <c r="AM7" s="34">
        <v>11863</v>
      </c>
      <c r="AN7" s="34"/>
      <c r="AO7" s="34"/>
      <c r="AP7" s="34"/>
      <c r="AQ7" s="34"/>
      <c r="AR7" s="34"/>
      <c r="AS7" s="34"/>
      <c r="AT7" s="34"/>
      <c r="AU7" s="34"/>
    </row>
    <row r="8" spans="1:47" hidden="1" outlineLevel="1" x14ac:dyDescent="0.2">
      <c r="A8" s="6" t="s">
        <v>119</v>
      </c>
      <c r="B8" s="34">
        <f t="shared" si="0"/>
        <v>3382</v>
      </c>
      <c r="C8" s="34">
        <f t="shared" si="1"/>
        <v>7470</v>
      </c>
      <c r="D8" s="34">
        <f t="shared" si="2"/>
        <v>10373</v>
      </c>
      <c r="E8" s="34">
        <f t="shared" si="3"/>
        <v>13921</v>
      </c>
      <c r="F8" s="34">
        <f t="shared" si="4"/>
        <v>9930</v>
      </c>
      <c r="G8" s="34">
        <f t="shared" si="5"/>
        <v>15523</v>
      </c>
      <c r="H8" s="34">
        <f t="shared" si="6"/>
        <v>15681</v>
      </c>
      <c r="I8" s="34">
        <f t="shared" si="7"/>
        <v>14255</v>
      </c>
      <c r="J8" s="34">
        <f t="shared" si="8"/>
        <v>10846</v>
      </c>
      <c r="K8" s="34">
        <f t="shared" si="9"/>
        <v>8179</v>
      </c>
      <c r="L8" s="34">
        <f t="shared" si="10"/>
        <v>11869</v>
      </c>
      <c r="M8" s="34"/>
      <c r="N8" s="34"/>
      <c r="O8" s="34"/>
      <c r="P8" s="34"/>
      <c r="R8" s="34">
        <v>1265</v>
      </c>
      <c r="S8" s="34">
        <v>2117</v>
      </c>
      <c r="T8" s="34">
        <v>3828</v>
      </c>
      <c r="U8" s="34">
        <v>3642</v>
      </c>
      <c r="V8" s="34">
        <v>4386</v>
      </c>
      <c r="W8" s="34">
        <v>5987</v>
      </c>
      <c r="X8" s="34">
        <v>5666</v>
      </c>
      <c r="Y8" s="34">
        <v>8255</v>
      </c>
      <c r="Z8" s="34">
        <v>4291</v>
      </c>
      <c r="AA8" s="34">
        <v>5639</v>
      </c>
      <c r="AB8" s="34">
        <v>7914</v>
      </c>
      <c r="AC8" s="34">
        <v>7609</v>
      </c>
      <c r="AD8" s="34">
        <v>7075</v>
      </c>
      <c r="AE8" s="34">
        <v>8606</v>
      </c>
      <c r="AF8" s="34">
        <v>6937</v>
      </c>
      <c r="AG8" s="34">
        <v>7318</v>
      </c>
      <c r="AH8" s="34">
        <v>5647</v>
      </c>
      <c r="AI8" s="34">
        <v>5199</v>
      </c>
      <c r="AJ8" s="34">
        <v>4020</v>
      </c>
      <c r="AK8" s="34">
        <v>4159</v>
      </c>
      <c r="AL8" s="34">
        <v>6742</v>
      </c>
      <c r="AM8" s="34">
        <v>5127</v>
      </c>
      <c r="AN8" s="34"/>
      <c r="AO8" s="34"/>
      <c r="AP8" s="34"/>
      <c r="AQ8" s="34"/>
      <c r="AR8" s="34"/>
      <c r="AS8" s="34"/>
      <c r="AT8" s="34"/>
      <c r="AU8" s="34"/>
    </row>
    <row r="9" spans="1:47" collapsed="1" x14ac:dyDescent="0.2">
      <c r="A9" s="37" t="s">
        <v>120</v>
      </c>
      <c r="B9" s="78">
        <f t="shared" si="0"/>
        <v>22741</v>
      </c>
      <c r="C9" s="78">
        <f t="shared" si="1"/>
        <v>26894</v>
      </c>
      <c r="D9" s="78">
        <f t="shared" si="2"/>
        <v>39921</v>
      </c>
      <c r="E9" s="78">
        <f t="shared" si="3"/>
        <v>51481</v>
      </c>
      <c r="F9" s="78">
        <f t="shared" si="4"/>
        <v>42404</v>
      </c>
      <c r="G9" s="78">
        <f t="shared" si="5"/>
        <v>49022</v>
      </c>
      <c r="H9" s="78">
        <f t="shared" si="6"/>
        <v>70645</v>
      </c>
      <c r="I9" s="78">
        <f t="shared" si="7"/>
        <v>72327</v>
      </c>
      <c r="J9" s="78">
        <f t="shared" si="8"/>
        <v>84330</v>
      </c>
      <c r="K9" s="78">
        <f t="shared" si="9"/>
        <v>78655</v>
      </c>
      <c r="L9" s="78">
        <f t="shared" si="10"/>
        <v>87138</v>
      </c>
      <c r="M9" s="78">
        <f>SUM(AN9:AO9)</f>
        <v>80556</v>
      </c>
      <c r="N9" s="78">
        <f>90652</f>
        <v>90652</v>
      </c>
      <c r="O9" s="78">
        <f>130946</f>
        <v>130946</v>
      </c>
      <c r="P9" s="78">
        <f>153627</f>
        <v>153627</v>
      </c>
      <c r="R9" s="78">
        <v>9412</v>
      </c>
      <c r="S9" s="78">
        <v>13329</v>
      </c>
      <c r="T9" s="78">
        <v>12157</v>
      </c>
      <c r="U9" s="78">
        <v>14737</v>
      </c>
      <c r="V9" s="78">
        <v>16635</v>
      </c>
      <c r="W9" s="78">
        <v>23286</v>
      </c>
      <c r="X9" s="78">
        <v>14539</v>
      </c>
      <c r="Y9" s="78">
        <v>36942</v>
      </c>
      <c r="Z9" s="78">
        <v>18148</v>
      </c>
      <c r="AA9" s="78">
        <v>24256</v>
      </c>
      <c r="AB9" s="78">
        <v>19742</v>
      </c>
      <c r="AC9" s="78">
        <v>29280</v>
      </c>
      <c r="AD9" s="78">
        <v>29016</v>
      </c>
      <c r="AE9" s="78">
        <v>41629</v>
      </c>
      <c r="AF9" s="78">
        <v>24699</v>
      </c>
      <c r="AG9" s="78">
        <v>47628</v>
      </c>
      <c r="AH9" s="78">
        <v>39562</v>
      </c>
      <c r="AI9" s="78">
        <v>44768</v>
      </c>
      <c r="AJ9" s="78">
        <v>30868</v>
      </c>
      <c r="AK9" s="78">
        <v>47787</v>
      </c>
      <c r="AL9" s="78">
        <v>39884</v>
      </c>
      <c r="AM9" s="78">
        <v>47254</v>
      </c>
      <c r="AN9" s="78">
        <v>32740</v>
      </c>
      <c r="AO9" s="78">
        <v>47816</v>
      </c>
      <c r="AP9" s="78">
        <f>33499</f>
        <v>33499</v>
      </c>
      <c r="AQ9" s="78">
        <f>N9-AP9</f>
        <v>57153</v>
      </c>
      <c r="AR9" s="78">
        <f>57360</f>
        <v>57360</v>
      </c>
      <c r="AS9" s="78">
        <f>O9-AR9</f>
        <v>73586</v>
      </c>
      <c r="AT9" s="78">
        <f>77413</f>
        <v>77413</v>
      </c>
      <c r="AU9" s="78">
        <f>P9-AT9</f>
        <v>76214</v>
      </c>
    </row>
    <row r="10" spans="1:47" hidden="1" outlineLevel="1" x14ac:dyDescent="0.2">
      <c r="A10" s="6" t="s">
        <v>121</v>
      </c>
      <c r="B10" s="34">
        <f t="shared" si="0"/>
        <v>0</v>
      </c>
      <c r="C10" s="34">
        <f t="shared" si="1"/>
        <v>0</v>
      </c>
      <c r="D10" s="34">
        <f t="shared" si="2"/>
        <v>0</v>
      </c>
      <c r="E10" s="34">
        <f t="shared" si="3"/>
        <v>0</v>
      </c>
      <c r="F10" s="34">
        <f t="shared" si="4"/>
        <v>0</v>
      </c>
      <c r="G10" s="34">
        <f t="shared" si="5"/>
        <v>0</v>
      </c>
      <c r="H10" s="34">
        <f t="shared" si="6"/>
        <v>0</v>
      </c>
      <c r="I10" s="34">
        <f t="shared" si="7"/>
        <v>-42013</v>
      </c>
      <c r="J10" s="34">
        <f t="shared" si="8"/>
        <v>-44150</v>
      </c>
      <c r="K10" s="34">
        <f t="shared" si="9"/>
        <v>-33744</v>
      </c>
      <c r="L10" s="34">
        <f t="shared" si="10"/>
        <v>-31676</v>
      </c>
      <c r="M10" s="34">
        <f t="shared" ref="M10:N45" si="11">SUM(AN10:AO10)</f>
        <v>0</v>
      </c>
      <c r="N10" s="34">
        <f t="shared" si="11"/>
        <v>0</v>
      </c>
      <c r="O10" s="34"/>
      <c r="P10" s="34"/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-42013</v>
      </c>
      <c r="AH10" s="34">
        <v>-21497</v>
      </c>
      <c r="AI10" s="34">
        <v>-22653</v>
      </c>
      <c r="AJ10" s="34">
        <v>-14155</v>
      </c>
      <c r="AK10" s="34">
        <v>-19589</v>
      </c>
      <c r="AL10" s="34">
        <v>-14470</v>
      </c>
      <c r="AM10" s="78">
        <v>-17206</v>
      </c>
      <c r="AN10" s="78"/>
      <c r="AO10" s="78"/>
      <c r="AP10" s="78"/>
      <c r="AQ10" s="78">
        <f t="shared" ref="AQ10:AQ45" si="12">N10-AP10</f>
        <v>0</v>
      </c>
      <c r="AR10" s="78"/>
      <c r="AS10" s="78">
        <f t="shared" ref="AS10:AS13" si="13">O10-AR10</f>
        <v>0</v>
      </c>
      <c r="AT10" s="78"/>
      <c r="AU10" s="78">
        <f t="shared" ref="AU10:AU45" si="14">P10-AT10</f>
        <v>0</v>
      </c>
    </row>
    <row r="11" spans="1:47" hidden="1" outlineLevel="1" x14ac:dyDescent="0.2">
      <c r="A11" s="6" t="s">
        <v>122</v>
      </c>
      <c r="B11" s="34">
        <f t="shared" si="0"/>
        <v>0</v>
      </c>
      <c r="C11" s="34">
        <f t="shared" si="1"/>
        <v>0</v>
      </c>
      <c r="D11" s="34">
        <f t="shared" si="2"/>
        <v>0</v>
      </c>
      <c r="E11" s="34">
        <f t="shared" si="3"/>
        <v>0</v>
      </c>
      <c r="F11" s="34">
        <f t="shared" si="4"/>
        <v>0</v>
      </c>
      <c r="G11" s="34">
        <f t="shared" si="5"/>
        <v>0</v>
      </c>
      <c r="H11" s="34">
        <f t="shared" si="6"/>
        <v>0</v>
      </c>
      <c r="I11" s="34">
        <f t="shared" si="7"/>
        <v>0</v>
      </c>
      <c r="J11" s="34">
        <f t="shared" si="8"/>
        <v>-9592</v>
      </c>
      <c r="K11" s="34">
        <f t="shared" si="9"/>
        <v>-15605</v>
      </c>
      <c r="L11" s="34">
        <f t="shared" si="10"/>
        <v>-17904</v>
      </c>
      <c r="M11" s="34">
        <f t="shared" si="11"/>
        <v>0</v>
      </c>
      <c r="N11" s="34">
        <f t="shared" si="11"/>
        <v>0</v>
      </c>
      <c r="O11" s="34"/>
      <c r="P11" s="34"/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-3440</v>
      </c>
      <c r="AI11" s="34">
        <v>-6152</v>
      </c>
      <c r="AJ11" s="34">
        <v>-5457</v>
      </c>
      <c r="AK11" s="34">
        <v>-10148</v>
      </c>
      <c r="AL11" s="34">
        <v>-7583</v>
      </c>
      <c r="AM11" s="78">
        <v>-10321</v>
      </c>
      <c r="AN11" s="78"/>
      <c r="AO11" s="78"/>
      <c r="AP11" s="78"/>
      <c r="AQ11" s="78">
        <f t="shared" si="12"/>
        <v>0</v>
      </c>
      <c r="AR11" s="78"/>
      <c r="AS11" s="78">
        <f t="shared" si="13"/>
        <v>0</v>
      </c>
      <c r="AT11" s="78"/>
      <c r="AU11" s="78">
        <f t="shared" si="14"/>
        <v>0</v>
      </c>
    </row>
    <row r="12" spans="1:47" hidden="1" outlineLevel="1" x14ac:dyDescent="0.2">
      <c r="A12" s="6" t="s">
        <v>123</v>
      </c>
      <c r="B12" s="34">
        <f t="shared" si="0"/>
        <v>0</v>
      </c>
      <c r="C12" s="34">
        <f t="shared" si="1"/>
        <v>0</v>
      </c>
      <c r="D12" s="34">
        <f t="shared" si="2"/>
        <v>0</v>
      </c>
      <c r="E12" s="34">
        <f t="shared" si="3"/>
        <v>0</v>
      </c>
      <c r="F12" s="34">
        <f t="shared" si="4"/>
        <v>0</v>
      </c>
      <c r="G12" s="34">
        <f t="shared" si="5"/>
        <v>0</v>
      </c>
      <c r="H12" s="34">
        <f t="shared" si="6"/>
        <v>0</v>
      </c>
      <c r="I12" s="34">
        <f t="shared" si="7"/>
        <v>-13259</v>
      </c>
      <c r="J12" s="34">
        <f t="shared" si="8"/>
        <v>-10531</v>
      </c>
      <c r="K12" s="34">
        <f t="shared" si="9"/>
        <v>-7391</v>
      </c>
      <c r="L12" s="34">
        <f t="shared" si="10"/>
        <v>-9776</v>
      </c>
      <c r="M12" s="34">
        <f t="shared" si="11"/>
        <v>0</v>
      </c>
      <c r="N12" s="34">
        <f t="shared" si="11"/>
        <v>0</v>
      </c>
      <c r="O12" s="34"/>
      <c r="P12" s="34"/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-13259</v>
      </c>
      <c r="AH12" s="34">
        <v>-5526</v>
      </c>
      <c r="AI12" s="34">
        <v>-5005</v>
      </c>
      <c r="AJ12" s="34">
        <v>-3738</v>
      </c>
      <c r="AK12" s="34">
        <v>-3653</v>
      </c>
      <c r="AL12" s="34">
        <v>-4033</v>
      </c>
      <c r="AM12" s="78">
        <v>-5743</v>
      </c>
      <c r="AN12" s="78"/>
      <c r="AO12" s="78"/>
      <c r="AP12" s="78"/>
      <c r="AQ12" s="78">
        <f t="shared" si="12"/>
        <v>0</v>
      </c>
      <c r="AR12" s="78"/>
      <c r="AS12" s="78">
        <f t="shared" si="13"/>
        <v>0</v>
      </c>
      <c r="AT12" s="78"/>
      <c r="AU12" s="78">
        <f t="shared" si="14"/>
        <v>0</v>
      </c>
    </row>
    <row r="13" spans="1:47" collapsed="1" x14ac:dyDescent="0.2">
      <c r="A13" s="37" t="s">
        <v>124</v>
      </c>
      <c r="B13" s="78">
        <f t="shared" si="0"/>
        <v>-11888</v>
      </c>
      <c r="C13" s="78">
        <f t="shared" si="1"/>
        <v>-17494</v>
      </c>
      <c r="D13" s="78">
        <f t="shared" si="2"/>
        <v>-27553</v>
      </c>
      <c r="E13" s="78">
        <f t="shared" si="3"/>
        <v>-35685</v>
      </c>
      <c r="F13" s="78">
        <f t="shared" si="4"/>
        <v>-29405</v>
      </c>
      <c r="G13" s="78">
        <f t="shared" si="5"/>
        <v>-36813</v>
      </c>
      <c r="H13" s="78">
        <f t="shared" si="6"/>
        <v>-52644</v>
      </c>
      <c r="I13" s="78">
        <f t="shared" si="7"/>
        <v>-55272</v>
      </c>
      <c r="J13" s="78">
        <f t="shared" si="8"/>
        <v>-64273</v>
      </c>
      <c r="K13" s="78">
        <f t="shared" si="9"/>
        <v>-56740</v>
      </c>
      <c r="L13" s="78">
        <f t="shared" si="10"/>
        <v>-59356</v>
      </c>
      <c r="M13" s="78">
        <f t="shared" si="11"/>
        <v>-52353</v>
      </c>
      <c r="N13" s="78">
        <f>-60681</f>
        <v>-60681</v>
      </c>
      <c r="O13" s="78">
        <f>-89568</f>
        <v>-89568</v>
      </c>
      <c r="P13" s="78">
        <v>-112228</v>
      </c>
      <c r="R13" s="78">
        <v>-4753</v>
      </c>
      <c r="S13" s="78">
        <v>-7135</v>
      </c>
      <c r="T13" s="78">
        <v>-7797</v>
      </c>
      <c r="U13" s="78">
        <v>-9697</v>
      </c>
      <c r="V13" s="78">
        <v>-11064</v>
      </c>
      <c r="W13" s="78">
        <v>-16489</v>
      </c>
      <c r="X13" s="78">
        <v>-10759</v>
      </c>
      <c r="Y13" s="78">
        <v>-24926</v>
      </c>
      <c r="Z13" s="78">
        <v>-12584</v>
      </c>
      <c r="AA13" s="78">
        <v>-16821</v>
      </c>
      <c r="AB13" s="78">
        <v>-15685</v>
      </c>
      <c r="AC13" s="78">
        <v>-21128</v>
      </c>
      <c r="AD13" s="78">
        <v>-22908</v>
      </c>
      <c r="AE13" s="78">
        <v>-29736</v>
      </c>
      <c r="AF13" s="78">
        <v>-19126</v>
      </c>
      <c r="AG13" s="78">
        <v>-36146</v>
      </c>
      <c r="AH13" s="78">
        <v>-30463</v>
      </c>
      <c r="AI13" s="78">
        <v>-33810</v>
      </c>
      <c r="AJ13" s="78">
        <v>-23350</v>
      </c>
      <c r="AK13" s="78">
        <v>-33390</v>
      </c>
      <c r="AL13" s="78">
        <v>-26086</v>
      </c>
      <c r="AM13" s="78">
        <v>-33270</v>
      </c>
      <c r="AN13" s="78">
        <v>-22982</v>
      </c>
      <c r="AO13" s="78">
        <v>-29371</v>
      </c>
      <c r="AP13" s="78">
        <v>-22253</v>
      </c>
      <c r="AQ13" s="78">
        <f t="shared" si="12"/>
        <v>-38428</v>
      </c>
      <c r="AR13" s="78">
        <f>-37792</f>
        <v>-37792</v>
      </c>
      <c r="AS13" s="78">
        <f t="shared" si="13"/>
        <v>-51776</v>
      </c>
      <c r="AT13" s="78">
        <f>-56526</f>
        <v>-56526</v>
      </c>
      <c r="AU13" s="78">
        <f t="shared" si="14"/>
        <v>-55702</v>
      </c>
    </row>
    <row r="14" spans="1:47" hidden="1" outlineLevel="1" x14ac:dyDescent="0.2">
      <c r="A14" s="6" t="s">
        <v>125</v>
      </c>
      <c r="B14" s="34">
        <f t="shared" si="0"/>
        <v>0</v>
      </c>
      <c r="C14" s="34">
        <f t="shared" si="1"/>
        <v>0</v>
      </c>
      <c r="D14" s="34">
        <f t="shared" si="2"/>
        <v>0</v>
      </c>
      <c r="E14" s="34">
        <f t="shared" si="3"/>
        <v>0</v>
      </c>
      <c r="F14" s="34">
        <f t="shared" si="4"/>
        <v>0</v>
      </c>
      <c r="G14" s="34">
        <f t="shared" si="5"/>
        <v>0</v>
      </c>
      <c r="H14" s="34">
        <f t="shared" si="6"/>
        <v>0</v>
      </c>
      <c r="I14" s="34">
        <f t="shared" si="7"/>
        <v>16059</v>
      </c>
      <c r="J14" s="34">
        <f t="shared" si="8"/>
        <v>18459</v>
      </c>
      <c r="K14" s="34">
        <f t="shared" si="9"/>
        <v>18057</v>
      </c>
      <c r="L14" s="34">
        <f t="shared" si="10"/>
        <v>21708</v>
      </c>
      <c r="M14" s="34">
        <f t="shared" si="11"/>
        <v>0</v>
      </c>
      <c r="N14" s="34">
        <f t="shared" si="11"/>
        <v>0</v>
      </c>
      <c r="O14" s="34"/>
      <c r="P14" s="34"/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16059</v>
      </c>
      <c r="AH14" s="34">
        <v>8732</v>
      </c>
      <c r="AI14" s="34">
        <v>9727</v>
      </c>
      <c r="AJ14" s="34">
        <v>6718</v>
      </c>
      <c r="AK14" s="34">
        <v>11339</v>
      </c>
      <c r="AL14" s="34">
        <v>8650</v>
      </c>
      <c r="AM14" s="34">
        <v>13058</v>
      </c>
      <c r="AN14" s="34"/>
      <c r="AO14" s="34"/>
      <c r="AP14" s="34"/>
      <c r="AQ14" s="34">
        <f t="shared" si="12"/>
        <v>0</v>
      </c>
      <c r="AR14" s="34"/>
      <c r="AS14" s="34"/>
      <c r="AT14" s="34"/>
      <c r="AU14" s="34">
        <f t="shared" si="14"/>
        <v>0</v>
      </c>
    </row>
    <row r="15" spans="1:47" hidden="1" outlineLevel="1" x14ac:dyDescent="0.2">
      <c r="A15" s="6" t="s">
        <v>126</v>
      </c>
      <c r="B15" s="34">
        <f t="shared" si="0"/>
        <v>0</v>
      </c>
      <c r="C15" s="34">
        <f t="shared" si="1"/>
        <v>0</v>
      </c>
      <c r="D15" s="34">
        <f t="shared" si="2"/>
        <v>0</v>
      </c>
      <c r="E15" s="34">
        <f t="shared" si="3"/>
        <v>0</v>
      </c>
      <c r="F15" s="34">
        <f t="shared" si="4"/>
        <v>0</v>
      </c>
      <c r="G15" s="34">
        <f t="shared" si="5"/>
        <v>0</v>
      </c>
      <c r="H15" s="34">
        <f t="shared" si="6"/>
        <v>0</v>
      </c>
      <c r="I15" s="34">
        <f t="shared" si="7"/>
        <v>0</v>
      </c>
      <c r="J15" s="34">
        <f t="shared" si="8"/>
        <v>1283</v>
      </c>
      <c r="K15" s="34">
        <f t="shared" si="9"/>
        <v>3070</v>
      </c>
      <c r="L15" s="34">
        <f t="shared" si="10"/>
        <v>3981</v>
      </c>
      <c r="M15" s="34">
        <f t="shared" si="11"/>
        <v>0</v>
      </c>
      <c r="N15" s="34">
        <f t="shared" si="11"/>
        <v>0</v>
      </c>
      <c r="O15" s="34"/>
      <c r="P15" s="34"/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246</v>
      </c>
      <c r="AI15" s="34">
        <v>1037</v>
      </c>
      <c r="AJ15" s="34">
        <v>518</v>
      </c>
      <c r="AK15" s="34">
        <v>2552</v>
      </c>
      <c r="AL15" s="34">
        <v>2439</v>
      </c>
      <c r="AM15" s="34">
        <v>1542</v>
      </c>
      <c r="AN15" s="34"/>
      <c r="AO15" s="34"/>
      <c r="AP15" s="34"/>
      <c r="AQ15" s="34">
        <f t="shared" si="12"/>
        <v>0</v>
      </c>
      <c r="AR15" s="34"/>
      <c r="AS15" s="34"/>
      <c r="AT15" s="34"/>
      <c r="AU15" s="34">
        <f t="shared" si="14"/>
        <v>0</v>
      </c>
    </row>
    <row r="16" spans="1:47" hidden="1" outlineLevel="1" x14ac:dyDescent="0.2">
      <c r="A16" s="6" t="s">
        <v>127</v>
      </c>
      <c r="B16" s="34">
        <f t="shared" si="0"/>
        <v>0</v>
      </c>
      <c r="C16" s="34">
        <f t="shared" si="1"/>
        <v>0</v>
      </c>
      <c r="D16" s="34">
        <f t="shared" si="2"/>
        <v>0</v>
      </c>
      <c r="E16" s="34">
        <f t="shared" si="3"/>
        <v>0</v>
      </c>
      <c r="F16" s="34">
        <f t="shared" si="4"/>
        <v>0</v>
      </c>
      <c r="G16" s="34">
        <f t="shared" si="5"/>
        <v>0</v>
      </c>
      <c r="H16" s="34">
        <f t="shared" si="6"/>
        <v>0</v>
      </c>
      <c r="I16" s="34">
        <f t="shared" si="7"/>
        <v>996</v>
      </c>
      <c r="J16" s="34">
        <f t="shared" si="8"/>
        <v>315</v>
      </c>
      <c r="K16" s="34">
        <f t="shared" si="9"/>
        <v>788</v>
      </c>
      <c r="L16" s="34">
        <f t="shared" si="10"/>
        <v>2093</v>
      </c>
      <c r="M16" s="34">
        <f t="shared" si="11"/>
        <v>0</v>
      </c>
      <c r="N16" s="34">
        <f t="shared" si="11"/>
        <v>0</v>
      </c>
      <c r="O16" s="34"/>
      <c r="P16" s="34"/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996</v>
      </c>
      <c r="AH16" s="34">
        <v>121</v>
      </c>
      <c r="AI16" s="34">
        <v>194</v>
      </c>
      <c r="AJ16" s="34">
        <v>282</v>
      </c>
      <c r="AK16" s="34">
        <v>506</v>
      </c>
      <c r="AL16" s="34">
        <v>2709</v>
      </c>
      <c r="AM16" s="34">
        <v>-616</v>
      </c>
      <c r="AN16" s="34"/>
      <c r="AO16" s="34"/>
      <c r="AP16" s="34"/>
      <c r="AQ16" s="34">
        <f t="shared" si="12"/>
        <v>0</v>
      </c>
      <c r="AR16" s="34"/>
      <c r="AS16" s="34"/>
      <c r="AT16" s="34"/>
      <c r="AU16" s="34">
        <f t="shared" si="14"/>
        <v>0</v>
      </c>
    </row>
    <row r="17" spans="1:47" collapsed="1" x14ac:dyDescent="0.2">
      <c r="A17" s="38" t="s">
        <v>128</v>
      </c>
      <c r="B17" s="79">
        <f t="shared" si="0"/>
        <v>10853</v>
      </c>
      <c r="C17" s="79">
        <f t="shared" si="1"/>
        <v>9400</v>
      </c>
      <c r="D17" s="79">
        <f t="shared" si="2"/>
        <v>12368</v>
      </c>
      <c r="E17" s="79">
        <f t="shared" si="3"/>
        <v>15796</v>
      </c>
      <c r="F17" s="79">
        <f t="shared" si="4"/>
        <v>12999</v>
      </c>
      <c r="G17" s="79">
        <f t="shared" si="5"/>
        <v>12209</v>
      </c>
      <c r="H17" s="79">
        <f t="shared" si="6"/>
        <v>18001</v>
      </c>
      <c r="I17" s="79">
        <f t="shared" si="7"/>
        <v>17055</v>
      </c>
      <c r="J17" s="79">
        <f t="shared" si="8"/>
        <v>20057</v>
      </c>
      <c r="K17" s="79">
        <f t="shared" si="9"/>
        <v>21915</v>
      </c>
      <c r="L17" s="79">
        <f t="shared" si="10"/>
        <v>27782</v>
      </c>
      <c r="M17" s="79">
        <f t="shared" si="11"/>
        <v>28203</v>
      </c>
      <c r="N17" s="79">
        <v>29971</v>
      </c>
      <c r="O17" s="79">
        <f>41378</f>
        <v>41378</v>
      </c>
      <c r="P17" s="79">
        <v>41399</v>
      </c>
      <c r="Q17" s="32"/>
      <c r="R17" s="79">
        <v>4659</v>
      </c>
      <c r="S17" s="79">
        <v>6194</v>
      </c>
      <c r="T17" s="79">
        <v>4360</v>
      </c>
      <c r="U17" s="79">
        <v>5040</v>
      </c>
      <c r="V17" s="79">
        <v>5571</v>
      </c>
      <c r="W17" s="79">
        <v>6797</v>
      </c>
      <c r="X17" s="79">
        <v>3780</v>
      </c>
      <c r="Y17" s="79">
        <v>12016</v>
      </c>
      <c r="Z17" s="79">
        <v>5564</v>
      </c>
      <c r="AA17" s="79">
        <v>7435</v>
      </c>
      <c r="AB17" s="79">
        <v>4057</v>
      </c>
      <c r="AC17" s="79">
        <v>8152</v>
      </c>
      <c r="AD17" s="79">
        <v>6108</v>
      </c>
      <c r="AE17" s="79">
        <v>11893</v>
      </c>
      <c r="AF17" s="79">
        <v>5573</v>
      </c>
      <c r="AG17" s="79">
        <v>11482</v>
      </c>
      <c r="AH17" s="79">
        <v>9099</v>
      </c>
      <c r="AI17" s="79">
        <v>10958</v>
      </c>
      <c r="AJ17" s="79">
        <v>7518</v>
      </c>
      <c r="AK17" s="79">
        <v>14397</v>
      </c>
      <c r="AL17" s="80">
        <v>13798</v>
      </c>
      <c r="AM17" s="80">
        <v>13984</v>
      </c>
      <c r="AN17" s="80">
        <v>9758</v>
      </c>
      <c r="AO17" s="80">
        <v>18445</v>
      </c>
      <c r="AP17" s="80">
        <f>AP9+AP13</f>
        <v>11246</v>
      </c>
      <c r="AQ17" s="80">
        <f t="shared" si="12"/>
        <v>18725</v>
      </c>
      <c r="AR17" s="80">
        <f>AR9+AR13</f>
        <v>19568</v>
      </c>
      <c r="AS17" s="80">
        <f t="shared" ref="AS17" si="15">O17-AR17</f>
        <v>21810</v>
      </c>
      <c r="AT17" s="80">
        <f>AT9+AT13</f>
        <v>20887</v>
      </c>
      <c r="AU17" s="80">
        <f t="shared" si="14"/>
        <v>20512</v>
      </c>
    </row>
    <row r="18" spans="1:47" ht="15" x14ac:dyDescent="0.25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M18" s="34"/>
      <c r="AN18" s="34"/>
      <c r="AO18" s="34"/>
      <c r="AP18" s="34"/>
      <c r="AQ18" s="34">
        <f t="shared" si="12"/>
        <v>0</v>
      </c>
      <c r="AR18" s="34"/>
      <c r="AS18" s="34"/>
      <c r="AT18" s="34"/>
      <c r="AU18" s="34"/>
    </row>
    <row r="19" spans="1:47" x14ac:dyDescent="0.2">
      <c r="A19" s="6" t="s">
        <v>321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>
        <f>1449</f>
        <v>1449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M19" s="34"/>
      <c r="AN19" s="34"/>
      <c r="AO19" s="34"/>
      <c r="AP19" s="34"/>
      <c r="AQ19" s="34"/>
      <c r="AR19" s="34"/>
      <c r="AS19" s="34"/>
      <c r="AT19" s="34"/>
      <c r="AU19" s="34">
        <f t="shared" si="14"/>
        <v>1449</v>
      </c>
    </row>
    <row r="20" spans="1:47" ht="13.5" customHeight="1" x14ac:dyDescent="0.2">
      <c r="A20" s="6" t="s">
        <v>129</v>
      </c>
      <c r="B20" s="34">
        <f t="shared" si="0"/>
        <v>-2328</v>
      </c>
      <c r="C20" s="34">
        <f t="shared" si="1"/>
        <v>-2324</v>
      </c>
      <c r="D20" s="34">
        <f t="shared" si="2"/>
        <v>-3157</v>
      </c>
      <c r="E20" s="34">
        <f t="shared" si="3"/>
        <v>-4178</v>
      </c>
      <c r="F20" s="34">
        <f t="shared" si="4"/>
        <v>-4348</v>
      </c>
      <c r="G20" s="34">
        <f t="shared" si="5"/>
        <v>-4454</v>
      </c>
      <c r="H20" s="34">
        <f t="shared" si="6"/>
        <v>-5052</v>
      </c>
      <c r="I20" s="34">
        <f t="shared" si="7"/>
        <v>-6922</v>
      </c>
      <c r="J20" s="34">
        <f t="shared" si="8"/>
        <v>-7280</v>
      </c>
      <c r="K20" s="34">
        <f t="shared" si="9"/>
        <v>-5235</v>
      </c>
      <c r="L20" s="34">
        <f t="shared" si="10"/>
        <v>-5784</v>
      </c>
      <c r="M20" s="34">
        <f t="shared" si="11"/>
        <v>-7259</v>
      </c>
      <c r="N20" s="34">
        <v>-7475</v>
      </c>
      <c r="O20" s="34">
        <f>-8455</f>
        <v>-8455</v>
      </c>
      <c r="P20" s="34">
        <v>-7883</v>
      </c>
      <c r="R20" s="34">
        <v>-1020</v>
      </c>
      <c r="S20" s="34">
        <v>-1308</v>
      </c>
      <c r="T20" s="34">
        <v>-1195</v>
      </c>
      <c r="U20" s="34">
        <v>-1129</v>
      </c>
      <c r="V20" s="34">
        <v>-1387</v>
      </c>
      <c r="W20" s="34">
        <v>-1770</v>
      </c>
      <c r="X20" s="34">
        <v>-1957</v>
      </c>
      <c r="Y20" s="34">
        <v>-2221</v>
      </c>
      <c r="Z20" s="34">
        <v>-2021</v>
      </c>
      <c r="AA20" s="34">
        <v>-2327</v>
      </c>
      <c r="AB20" s="34">
        <v>-1958</v>
      </c>
      <c r="AC20" s="34">
        <v>-2496</v>
      </c>
      <c r="AD20" s="34">
        <v>-1990</v>
      </c>
      <c r="AE20" s="34">
        <v>-3062</v>
      </c>
      <c r="AF20" s="34">
        <v>-3456</v>
      </c>
      <c r="AG20" s="34">
        <v>-3466</v>
      </c>
      <c r="AH20" s="34">
        <v>-3081</v>
      </c>
      <c r="AI20" s="34">
        <v>-4199</v>
      </c>
      <c r="AJ20" s="34">
        <v>-2319</v>
      </c>
      <c r="AK20" s="34">
        <v>-2916</v>
      </c>
      <c r="AL20" s="34">
        <v>-2453</v>
      </c>
      <c r="AM20" s="34">
        <v>-3331</v>
      </c>
      <c r="AN20" s="34">
        <v>-2558</v>
      </c>
      <c r="AO20" s="34">
        <v>-4701</v>
      </c>
      <c r="AP20" s="34">
        <v>-3243</v>
      </c>
      <c r="AQ20" s="34">
        <f t="shared" si="12"/>
        <v>-4232</v>
      </c>
      <c r="AR20" s="34">
        <f>-3702</f>
        <v>-3702</v>
      </c>
      <c r="AS20" s="34">
        <f t="shared" ref="AS20:AS35" si="16">O20-AR20</f>
        <v>-4753</v>
      </c>
      <c r="AT20" s="34">
        <f>-3498</f>
        <v>-3498</v>
      </c>
      <c r="AU20" s="34">
        <f t="shared" si="14"/>
        <v>-4385</v>
      </c>
    </row>
    <row r="21" spans="1:47" x14ac:dyDescent="0.2">
      <c r="A21" s="6" t="s">
        <v>130</v>
      </c>
      <c r="B21" s="34">
        <f t="shared" si="0"/>
        <v>-854</v>
      </c>
      <c r="C21" s="34">
        <f t="shared" si="1"/>
        <v>-958</v>
      </c>
      <c r="D21" s="34">
        <f t="shared" si="2"/>
        <v>-1023</v>
      </c>
      <c r="E21" s="34">
        <f t="shared" si="3"/>
        <v>-1474</v>
      </c>
      <c r="F21" s="34">
        <f t="shared" si="4"/>
        <v>-1411</v>
      </c>
      <c r="G21" s="34">
        <f t="shared" si="5"/>
        <v>-1984</v>
      </c>
      <c r="H21" s="34">
        <f t="shared" si="6"/>
        <v>-2930</v>
      </c>
      <c r="I21" s="34">
        <f t="shared" si="7"/>
        <v>-3318</v>
      </c>
      <c r="J21" s="34">
        <f t="shared" si="8"/>
        <v>-4822</v>
      </c>
      <c r="K21" s="34">
        <f t="shared" si="9"/>
        <v>-4560</v>
      </c>
      <c r="L21" s="34">
        <f t="shared" si="10"/>
        <v>-4639</v>
      </c>
      <c r="M21" s="34">
        <f t="shared" si="11"/>
        <v>-5001</v>
      </c>
      <c r="N21" s="34">
        <v>-5158</v>
      </c>
      <c r="O21" s="34">
        <f>-6188</f>
        <v>-6188</v>
      </c>
      <c r="P21" s="34">
        <f>-7592</f>
        <v>-7592</v>
      </c>
      <c r="R21" s="34">
        <v>-336</v>
      </c>
      <c r="S21" s="34">
        <v>-518</v>
      </c>
      <c r="T21" s="34">
        <v>-389</v>
      </c>
      <c r="U21" s="34">
        <v>-569</v>
      </c>
      <c r="V21" s="34">
        <v>-460</v>
      </c>
      <c r="W21" s="34">
        <v>-563</v>
      </c>
      <c r="X21" s="34">
        <v>-577</v>
      </c>
      <c r="Y21" s="34">
        <v>-897</v>
      </c>
      <c r="Z21" s="34">
        <v>-619</v>
      </c>
      <c r="AA21" s="34">
        <v>-792</v>
      </c>
      <c r="AB21" s="34">
        <v>-918</v>
      </c>
      <c r="AC21" s="34">
        <v>-1066</v>
      </c>
      <c r="AD21" s="34">
        <v>-1168</v>
      </c>
      <c r="AE21" s="34">
        <v>-1762</v>
      </c>
      <c r="AF21" s="34">
        <v>-1740</v>
      </c>
      <c r="AG21" s="34">
        <v>-1578</v>
      </c>
      <c r="AH21" s="34">
        <v>-2356</v>
      </c>
      <c r="AI21" s="34">
        <v>-2466</v>
      </c>
      <c r="AJ21" s="34">
        <v>-2038</v>
      </c>
      <c r="AK21" s="34">
        <v>-2522</v>
      </c>
      <c r="AL21" s="34">
        <v>-1964</v>
      </c>
      <c r="AM21" s="34">
        <v>-2675</v>
      </c>
      <c r="AN21" s="34">
        <v>-1980</v>
      </c>
      <c r="AO21" s="34">
        <v>-3021</v>
      </c>
      <c r="AP21" s="34">
        <v>-2364</v>
      </c>
      <c r="AQ21" s="34">
        <f t="shared" si="12"/>
        <v>-2794</v>
      </c>
      <c r="AR21" s="34">
        <f>-2965</f>
        <v>-2965</v>
      </c>
      <c r="AS21" s="34">
        <f t="shared" si="16"/>
        <v>-3223</v>
      </c>
      <c r="AT21" s="34">
        <f>-3784</f>
        <v>-3784</v>
      </c>
      <c r="AU21" s="34">
        <f t="shared" si="14"/>
        <v>-3808</v>
      </c>
    </row>
    <row r="22" spans="1:47" x14ac:dyDescent="0.2">
      <c r="A22" s="6" t="s">
        <v>131</v>
      </c>
      <c r="B22" s="34">
        <f t="shared" si="0"/>
        <v>0</v>
      </c>
      <c r="C22" s="34">
        <f t="shared" si="1"/>
        <v>0</v>
      </c>
      <c r="D22" s="34">
        <f t="shared" si="2"/>
        <v>0</v>
      </c>
      <c r="E22" s="34">
        <f t="shared" si="3"/>
        <v>0</v>
      </c>
      <c r="F22" s="34">
        <f t="shared" si="4"/>
        <v>0</v>
      </c>
      <c r="G22" s="34">
        <f t="shared" si="5"/>
        <v>0</v>
      </c>
      <c r="H22" s="34">
        <f t="shared" si="6"/>
        <v>-673</v>
      </c>
      <c r="I22" s="34">
        <f t="shared" si="7"/>
        <v>-800</v>
      </c>
      <c r="J22" s="34">
        <f t="shared" si="8"/>
        <v>-476</v>
      </c>
      <c r="K22" s="34">
        <f t="shared" si="9"/>
        <v>-329</v>
      </c>
      <c r="L22" s="34">
        <f t="shared" si="10"/>
        <v>-169</v>
      </c>
      <c r="M22" s="34">
        <f t="shared" si="11"/>
        <v>-912</v>
      </c>
      <c r="N22" s="34">
        <v>-829</v>
      </c>
      <c r="O22" s="34">
        <f>-547</f>
        <v>-547</v>
      </c>
      <c r="P22" s="34">
        <f>-254</f>
        <v>-254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-244</v>
      </c>
      <c r="AE22" s="34">
        <v>-429</v>
      </c>
      <c r="AF22" s="34">
        <v>-212</v>
      </c>
      <c r="AG22" s="34">
        <v>-588</v>
      </c>
      <c r="AH22" s="34">
        <v>-142</v>
      </c>
      <c r="AI22" s="34">
        <v>-334</v>
      </c>
      <c r="AJ22" s="34">
        <v>-80</v>
      </c>
      <c r="AK22" s="34">
        <v>-249</v>
      </c>
      <c r="AL22" s="34">
        <v>-167</v>
      </c>
      <c r="AM22" s="34">
        <v>-2</v>
      </c>
      <c r="AN22" s="34">
        <v>-132</v>
      </c>
      <c r="AO22" s="34">
        <v>-780</v>
      </c>
      <c r="AP22" s="34">
        <v>-633</v>
      </c>
      <c r="AQ22" s="34">
        <f t="shared" si="12"/>
        <v>-196</v>
      </c>
      <c r="AR22" s="34">
        <f>-244</f>
        <v>-244</v>
      </c>
      <c r="AS22" s="34">
        <f t="shared" si="16"/>
        <v>-303</v>
      </c>
      <c r="AT22" s="34">
        <f>-153</f>
        <v>-153</v>
      </c>
      <c r="AU22" s="34">
        <f t="shared" si="14"/>
        <v>-101</v>
      </c>
    </row>
    <row r="23" spans="1:47" x14ac:dyDescent="0.2">
      <c r="A23" s="6" t="s">
        <v>132</v>
      </c>
      <c r="B23" s="34">
        <f t="shared" si="0"/>
        <v>0</v>
      </c>
      <c r="C23" s="34">
        <f t="shared" si="1"/>
        <v>0</v>
      </c>
      <c r="D23" s="34">
        <f t="shared" si="2"/>
        <v>0</v>
      </c>
      <c r="E23" s="34">
        <f t="shared" si="3"/>
        <v>0</v>
      </c>
      <c r="F23" s="34">
        <f t="shared" si="4"/>
        <v>0</v>
      </c>
      <c r="G23" s="34">
        <f t="shared" si="5"/>
        <v>0</v>
      </c>
      <c r="H23" s="34">
        <f t="shared" si="6"/>
        <v>0</v>
      </c>
      <c r="I23" s="34">
        <f t="shared" si="7"/>
        <v>0</v>
      </c>
      <c r="J23" s="34">
        <f t="shared" si="8"/>
        <v>729</v>
      </c>
      <c r="K23" s="34">
        <f t="shared" si="9"/>
        <v>0</v>
      </c>
      <c r="L23" s="34">
        <f t="shared" si="10"/>
        <v>0</v>
      </c>
      <c r="M23" s="34">
        <f t="shared" si="11"/>
        <v>12038</v>
      </c>
      <c r="N23" s="34">
        <f t="shared" si="11"/>
        <v>0</v>
      </c>
      <c r="O23" s="34">
        <f>0</f>
        <v>0</v>
      </c>
      <c r="P23" s="34">
        <f>0</f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729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12038</v>
      </c>
      <c r="AO23" s="34">
        <v>0</v>
      </c>
      <c r="AP23" s="34">
        <v>0</v>
      </c>
      <c r="AQ23" s="34">
        <f t="shared" si="12"/>
        <v>0</v>
      </c>
      <c r="AR23" s="34">
        <f>0</f>
        <v>0</v>
      </c>
      <c r="AS23" s="34">
        <f t="shared" si="16"/>
        <v>0</v>
      </c>
      <c r="AT23" s="34">
        <f>0</f>
        <v>0</v>
      </c>
      <c r="AU23" s="34">
        <f t="shared" si="14"/>
        <v>0</v>
      </c>
    </row>
    <row r="24" spans="1:47" x14ac:dyDescent="0.2">
      <c r="A24" s="6" t="s">
        <v>133</v>
      </c>
      <c r="B24" s="34">
        <f t="shared" si="0"/>
        <v>-27</v>
      </c>
      <c r="C24" s="34">
        <f t="shared" si="1"/>
        <v>-209</v>
      </c>
      <c r="D24" s="34">
        <f t="shared" si="2"/>
        <v>-40</v>
      </c>
      <c r="E24" s="34">
        <f t="shared" si="3"/>
        <v>-913</v>
      </c>
      <c r="F24" s="34">
        <f t="shared" si="4"/>
        <v>-991</v>
      </c>
      <c r="G24" s="34">
        <f t="shared" si="5"/>
        <v>-753</v>
      </c>
      <c r="H24" s="34">
        <f t="shared" si="6"/>
        <v>366</v>
      </c>
      <c r="I24" s="34">
        <f t="shared" si="7"/>
        <v>-2811</v>
      </c>
      <c r="J24" s="34">
        <f t="shared" si="8"/>
        <v>-1724</v>
      </c>
      <c r="K24" s="34">
        <f t="shared" si="9"/>
        <v>-1573</v>
      </c>
      <c r="L24" s="34">
        <f t="shared" si="10"/>
        <v>-3944</v>
      </c>
      <c r="M24" s="34">
        <f t="shared" si="11"/>
        <v>-2014</v>
      </c>
      <c r="N24" s="34">
        <f>-5064+496</f>
        <v>-4568</v>
      </c>
      <c r="O24" s="34">
        <f>1510-3977</f>
        <v>-2467</v>
      </c>
      <c r="P24" s="34">
        <f>2790-4514</f>
        <v>-1724</v>
      </c>
      <c r="R24" s="34">
        <v>37</v>
      </c>
      <c r="S24" s="34">
        <v>-64</v>
      </c>
      <c r="T24" s="34">
        <v>-27</v>
      </c>
      <c r="U24" s="34">
        <v>-182</v>
      </c>
      <c r="V24" s="34">
        <v>-96</v>
      </c>
      <c r="W24" s="34">
        <v>56</v>
      </c>
      <c r="X24" s="34">
        <v>-166</v>
      </c>
      <c r="Y24" s="34">
        <v>-747</v>
      </c>
      <c r="Z24" s="34">
        <v>-341</v>
      </c>
      <c r="AA24" s="34">
        <v>-650</v>
      </c>
      <c r="AB24" s="34">
        <v>-495</v>
      </c>
      <c r="AC24" s="34">
        <v>-258</v>
      </c>
      <c r="AD24" s="34">
        <v>-176</v>
      </c>
      <c r="AE24" s="34">
        <v>542</v>
      </c>
      <c r="AF24" s="34">
        <v>-1427</v>
      </c>
      <c r="AG24" s="34">
        <v>-1384</v>
      </c>
      <c r="AH24" s="34">
        <v>-720</v>
      </c>
      <c r="AI24" s="34">
        <v>-1004</v>
      </c>
      <c r="AJ24" s="34">
        <v>-879</v>
      </c>
      <c r="AK24" s="34">
        <v>-694</v>
      </c>
      <c r="AL24" s="34">
        <v>-2753</v>
      </c>
      <c r="AM24" s="34">
        <v>-1191</v>
      </c>
      <c r="AN24" s="34">
        <v>268</v>
      </c>
      <c r="AO24" s="34">
        <v>-2282</v>
      </c>
      <c r="AP24" s="34">
        <f>281-1294</f>
        <v>-1013</v>
      </c>
      <c r="AQ24" s="34">
        <f t="shared" si="12"/>
        <v>-3555</v>
      </c>
      <c r="AR24" s="34">
        <f>260-2387</f>
        <v>-2127</v>
      </c>
      <c r="AS24" s="34">
        <f t="shared" si="16"/>
        <v>-340</v>
      </c>
      <c r="AT24" s="34">
        <f>3009-1244</f>
        <v>1765</v>
      </c>
      <c r="AU24" s="34">
        <f t="shared" si="14"/>
        <v>-3489</v>
      </c>
    </row>
    <row r="25" spans="1:47" x14ac:dyDescent="0.2">
      <c r="A25" s="38" t="s">
        <v>134</v>
      </c>
      <c r="B25" s="79">
        <f t="shared" si="0"/>
        <v>7644</v>
      </c>
      <c r="C25" s="79">
        <f t="shared" si="1"/>
        <v>5909</v>
      </c>
      <c r="D25" s="79">
        <f t="shared" si="2"/>
        <v>8148</v>
      </c>
      <c r="E25" s="79">
        <f t="shared" si="3"/>
        <v>9231</v>
      </c>
      <c r="F25" s="79">
        <f t="shared" si="4"/>
        <v>6249</v>
      </c>
      <c r="G25" s="79">
        <f t="shared" si="5"/>
        <v>5018</v>
      </c>
      <c r="H25" s="79">
        <f t="shared" si="6"/>
        <v>9712</v>
      </c>
      <c r="I25" s="79">
        <f t="shared" si="7"/>
        <v>3204</v>
      </c>
      <c r="J25" s="79">
        <f t="shared" si="8"/>
        <v>6484</v>
      </c>
      <c r="K25" s="79">
        <f t="shared" si="9"/>
        <v>10218</v>
      </c>
      <c r="L25" s="79">
        <f t="shared" si="10"/>
        <v>13246</v>
      </c>
      <c r="M25" s="79">
        <f t="shared" si="11"/>
        <v>25055</v>
      </c>
      <c r="N25" s="79">
        <f>SUM(N17:N24)</f>
        <v>11941</v>
      </c>
      <c r="O25" s="79">
        <f>23721</f>
        <v>23721</v>
      </c>
      <c r="P25" s="79">
        <f>25395</f>
        <v>25395</v>
      </c>
      <c r="Q25" s="32"/>
      <c r="R25" s="79">
        <v>3340</v>
      </c>
      <c r="S25" s="79">
        <v>4304</v>
      </c>
      <c r="T25" s="79">
        <v>2749</v>
      </c>
      <c r="U25" s="79">
        <v>3160</v>
      </c>
      <c r="V25" s="79">
        <v>3628</v>
      </c>
      <c r="W25" s="79">
        <v>4520</v>
      </c>
      <c r="X25" s="79">
        <v>1080</v>
      </c>
      <c r="Y25" s="79">
        <v>8151</v>
      </c>
      <c r="Z25" s="79">
        <v>2583</v>
      </c>
      <c r="AA25" s="79">
        <v>3666</v>
      </c>
      <c r="AB25" s="79">
        <v>686</v>
      </c>
      <c r="AC25" s="79">
        <v>4332</v>
      </c>
      <c r="AD25" s="79">
        <v>2530</v>
      </c>
      <c r="AE25" s="79">
        <v>7182</v>
      </c>
      <c r="AF25" s="79">
        <v>-1262</v>
      </c>
      <c r="AG25" s="79">
        <v>4466</v>
      </c>
      <c r="AH25" s="79">
        <v>3529</v>
      </c>
      <c r="AI25" s="79">
        <v>2955</v>
      </c>
      <c r="AJ25" s="79">
        <v>2202</v>
      </c>
      <c r="AK25" s="79">
        <v>8016</v>
      </c>
      <c r="AL25" s="80">
        <v>6461</v>
      </c>
      <c r="AM25" s="81">
        <v>6785</v>
      </c>
      <c r="AN25" s="81">
        <f>SUM(AN17:AN24)</f>
        <v>17394</v>
      </c>
      <c r="AO25" s="81">
        <v>7661</v>
      </c>
      <c r="AP25" s="81">
        <f>SUM(AP17:AP24)</f>
        <v>3993</v>
      </c>
      <c r="AQ25" s="81">
        <f t="shared" si="12"/>
        <v>7948</v>
      </c>
      <c r="AR25" s="81">
        <f>SUM(AR17:AR24)</f>
        <v>10530</v>
      </c>
      <c r="AS25" s="81">
        <f t="shared" si="16"/>
        <v>13191</v>
      </c>
      <c r="AT25" s="81">
        <f>SUM(AT17:AT24)</f>
        <v>15217</v>
      </c>
      <c r="AU25" s="81">
        <f t="shared" si="14"/>
        <v>10178</v>
      </c>
    </row>
    <row r="26" spans="1:47" x14ac:dyDescent="0.2">
      <c r="A26" s="6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M26" s="34"/>
      <c r="AN26" s="34"/>
      <c r="AO26" s="34"/>
      <c r="AP26" s="34"/>
      <c r="AQ26" s="34">
        <f t="shared" si="12"/>
        <v>0</v>
      </c>
      <c r="AR26" s="34"/>
      <c r="AS26" s="34"/>
      <c r="AT26" s="34"/>
      <c r="AU26" s="34"/>
    </row>
    <row r="27" spans="1:47" x14ac:dyDescent="0.2">
      <c r="A27" s="6" t="s">
        <v>135</v>
      </c>
      <c r="B27" s="34">
        <f t="shared" si="0"/>
        <v>267</v>
      </c>
      <c r="C27" s="34">
        <f t="shared" si="1"/>
        <v>676</v>
      </c>
      <c r="D27" s="34">
        <f t="shared" si="2"/>
        <v>679</v>
      </c>
      <c r="E27" s="34">
        <f t="shared" si="3"/>
        <v>895</v>
      </c>
      <c r="F27" s="34">
        <f t="shared" si="4"/>
        <v>1667</v>
      </c>
      <c r="G27" s="34">
        <f t="shared" si="5"/>
        <v>1791</v>
      </c>
      <c r="H27" s="34">
        <f t="shared" si="6"/>
        <v>1696</v>
      </c>
      <c r="I27" s="34">
        <f t="shared" si="7"/>
        <v>2101</v>
      </c>
      <c r="J27" s="34">
        <f t="shared" si="8"/>
        <v>2872</v>
      </c>
      <c r="K27" s="34">
        <f t="shared" si="9"/>
        <v>1887</v>
      </c>
      <c r="L27" s="34">
        <f t="shared" si="10"/>
        <v>2392</v>
      </c>
      <c r="M27" s="34">
        <f t="shared" si="11"/>
        <v>3914</v>
      </c>
      <c r="N27" s="34">
        <v>2217</v>
      </c>
      <c r="O27" s="34">
        <f>1978</f>
        <v>1978</v>
      </c>
      <c r="P27" s="34">
        <f>3028</f>
        <v>3028</v>
      </c>
      <c r="R27" s="34">
        <v>111</v>
      </c>
      <c r="S27" s="34">
        <v>156</v>
      </c>
      <c r="T27" s="34">
        <v>334</v>
      </c>
      <c r="U27" s="34">
        <v>342</v>
      </c>
      <c r="V27" s="34">
        <v>386</v>
      </c>
      <c r="W27" s="34">
        <v>293</v>
      </c>
      <c r="X27" s="34">
        <v>389</v>
      </c>
      <c r="Y27" s="34">
        <v>506</v>
      </c>
      <c r="Z27" s="34">
        <v>992</v>
      </c>
      <c r="AA27" s="34">
        <v>675</v>
      </c>
      <c r="AB27" s="34">
        <v>849</v>
      </c>
      <c r="AC27" s="34">
        <v>942</v>
      </c>
      <c r="AD27" s="34">
        <v>767</v>
      </c>
      <c r="AE27" s="34">
        <v>929</v>
      </c>
      <c r="AF27" s="34">
        <v>895</v>
      </c>
      <c r="AG27" s="34">
        <v>1206</v>
      </c>
      <c r="AH27" s="34">
        <v>1517</v>
      </c>
      <c r="AI27" s="34">
        <v>1355</v>
      </c>
      <c r="AJ27" s="34">
        <v>1125</v>
      </c>
      <c r="AK27" s="34">
        <v>762</v>
      </c>
      <c r="AL27" s="34">
        <v>644</v>
      </c>
      <c r="AM27" s="34">
        <v>1748</v>
      </c>
      <c r="AN27" s="34">
        <v>2525</v>
      </c>
      <c r="AO27" s="34">
        <v>1389</v>
      </c>
      <c r="AP27" s="34">
        <v>975</v>
      </c>
      <c r="AQ27" s="34">
        <f t="shared" si="12"/>
        <v>1242</v>
      </c>
      <c r="AR27" s="34">
        <f>924</f>
        <v>924</v>
      </c>
      <c r="AS27" s="34">
        <f t="shared" si="16"/>
        <v>1054</v>
      </c>
      <c r="AT27" s="34">
        <f>1392</f>
        <v>1392</v>
      </c>
      <c r="AU27" s="34">
        <f t="shared" si="14"/>
        <v>1636</v>
      </c>
    </row>
    <row r="28" spans="1:47" x14ac:dyDescent="0.2">
      <c r="A28" s="6" t="s">
        <v>136</v>
      </c>
      <c r="B28" s="34">
        <f t="shared" si="0"/>
        <v>1174</v>
      </c>
      <c r="C28" s="34">
        <f t="shared" si="1"/>
        <v>73</v>
      </c>
      <c r="D28" s="34">
        <f t="shared" si="2"/>
        <v>12</v>
      </c>
      <c r="E28" s="34">
        <f t="shared" si="3"/>
        <v>822</v>
      </c>
      <c r="F28" s="34">
        <f t="shared" si="4"/>
        <v>19</v>
      </c>
      <c r="G28" s="34">
        <f t="shared" si="5"/>
        <v>66</v>
      </c>
      <c r="H28" s="34">
        <f t="shared" si="6"/>
        <v>16</v>
      </c>
      <c r="I28" s="34">
        <f t="shared" si="7"/>
        <v>183</v>
      </c>
      <c r="J28" s="34">
        <f t="shared" si="8"/>
        <v>119</v>
      </c>
      <c r="K28" s="34">
        <f t="shared" si="9"/>
        <v>129</v>
      </c>
      <c r="L28" s="34">
        <f t="shared" si="10"/>
        <v>136</v>
      </c>
      <c r="M28" s="34">
        <f t="shared" si="11"/>
        <v>75</v>
      </c>
      <c r="N28" s="34">
        <v>598</v>
      </c>
      <c r="O28" s="34">
        <f>5610</f>
        <v>5610</v>
      </c>
      <c r="P28" s="34">
        <f>0</f>
        <v>0</v>
      </c>
      <c r="R28" s="34">
        <v>124</v>
      </c>
      <c r="S28" s="34">
        <v>1050</v>
      </c>
      <c r="T28" s="34">
        <v>33</v>
      </c>
      <c r="U28" s="34">
        <v>40</v>
      </c>
      <c r="V28" s="34">
        <v>48</v>
      </c>
      <c r="W28" s="34">
        <v>-36</v>
      </c>
      <c r="X28" s="34">
        <v>2</v>
      </c>
      <c r="Y28" s="34">
        <v>820</v>
      </c>
      <c r="Z28" s="34">
        <v>6</v>
      </c>
      <c r="AA28" s="34">
        <v>13</v>
      </c>
      <c r="AB28" s="34">
        <v>42</v>
      </c>
      <c r="AC28" s="34">
        <v>24</v>
      </c>
      <c r="AD28" s="34">
        <v>2</v>
      </c>
      <c r="AE28" s="34">
        <v>14</v>
      </c>
      <c r="AF28" s="34">
        <v>209</v>
      </c>
      <c r="AG28" s="34">
        <v>-26</v>
      </c>
      <c r="AH28" s="34">
        <v>37</v>
      </c>
      <c r="AI28" s="34">
        <v>82</v>
      </c>
      <c r="AJ28" s="34">
        <v>150</v>
      </c>
      <c r="AK28" s="34">
        <v>-21</v>
      </c>
      <c r="AL28" s="34">
        <v>65</v>
      </c>
      <c r="AM28" s="34">
        <v>71</v>
      </c>
      <c r="AN28" s="34">
        <v>68</v>
      </c>
      <c r="AO28" s="34">
        <v>7</v>
      </c>
      <c r="AP28" s="34">
        <v>337</v>
      </c>
      <c r="AQ28" s="34">
        <f t="shared" si="12"/>
        <v>261</v>
      </c>
      <c r="AR28" s="34">
        <f>2122</f>
        <v>2122</v>
      </c>
      <c r="AS28" s="34">
        <f t="shared" si="16"/>
        <v>3488</v>
      </c>
      <c r="AT28" s="34">
        <f>0</f>
        <v>0</v>
      </c>
      <c r="AU28" s="34">
        <f t="shared" si="14"/>
        <v>0</v>
      </c>
    </row>
    <row r="29" spans="1:47" x14ac:dyDescent="0.2">
      <c r="A29" s="6" t="s">
        <v>137</v>
      </c>
      <c r="B29" s="34">
        <f t="shared" si="0"/>
        <v>-60</v>
      </c>
      <c r="C29" s="34">
        <f t="shared" si="1"/>
        <v>-132</v>
      </c>
      <c r="D29" s="34">
        <f t="shared" si="2"/>
        <v>-342</v>
      </c>
      <c r="E29" s="34">
        <f t="shared" si="3"/>
        <v>-553</v>
      </c>
      <c r="F29" s="34">
        <f t="shared" si="4"/>
        <v>-504</v>
      </c>
      <c r="G29" s="34">
        <f t="shared" si="5"/>
        <v>-319</v>
      </c>
      <c r="H29" s="34">
        <f t="shared" si="6"/>
        <v>-1007</v>
      </c>
      <c r="I29" s="34">
        <f t="shared" si="7"/>
        <v>-5065</v>
      </c>
      <c r="J29" s="34">
        <f t="shared" si="8"/>
        <v>-7704</v>
      </c>
      <c r="K29" s="34">
        <f t="shared" si="9"/>
        <v>-7512</v>
      </c>
      <c r="L29" s="34">
        <f t="shared" si="10"/>
        <v>-9909</v>
      </c>
      <c r="M29" s="34">
        <f t="shared" si="11"/>
        <v>-13120</v>
      </c>
      <c r="N29" s="34">
        <v>-15776</v>
      </c>
      <c r="O29" s="34">
        <f>-33411</f>
        <v>-33411</v>
      </c>
      <c r="P29" s="34">
        <f>-51430</f>
        <v>-51430</v>
      </c>
      <c r="R29" s="34">
        <v>-20</v>
      </c>
      <c r="S29" s="34">
        <v>-40</v>
      </c>
      <c r="T29" s="34">
        <v>-96</v>
      </c>
      <c r="U29" s="34">
        <v>-36</v>
      </c>
      <c r="V29" s="34">
        <v>-142</v>
      </c>
      <c r="W29" s="34">
        <v>-200</v>
      </c>
      <c r="X29" s="34">
        <v>-242</v>
      </c>
      <c r="Y29" s="34">
        <v>-311</v>
      </c>
      <c r="Z29" s="34">
        <v>-593</v>
      </c>
      <c r="AA29" s="34">
        <v>89</v>
      </c>
      <c r="AB29" s="34">
        <v>-152</v>
      </c>
      <c r="AC29" s="34">
        <v>-167</v>
      </c>
      <c r="AD29" s="34">
        <v>-423</v>
      </c>
      <c r="AE29" s="34">
        <v>-584</v>
      </c>
      <c r="AF29" s="34">
        <v>-2192</v>
      </c>
      <c r="AG29" s="34">
        <v>-2873</v>
      </c>
      <c r="AH29" s="34">
        <v>-3667</v>
      </c>
      <c r="AI29" s="34">
        <v>-4037</v>
      </c>
      <c r="AJ29" s="34">
        <v>-4166</v>
      </c>
      <c r="AK29" s="34">
        <v>-3346</v>
      </c>
      <c r="AL29" s="34">
        <v>-4414</v>
      </c>
      <c r="AM29" s="34">
        <v>-5495</v>
      </c>
      <c r="AN29" s="34">
        <v>-6863</v>
      </c>
      <c r="AO29" s="34">
        <v>-6257</v>
      </c>
      <c r="AP29" s="34">
        <v>-6939</v>
      </c>
      <c r="AQ29" s="34">
        <f t="shared" si="12"/>
        <v>-8837</v>
      </c>
      <c r="AR29" s="34">
        <f>-12792</f>
        <v>-12792</v>
      </c>
      <c r="AS29" s="34">
        <f t="shared" si="16"/>
        <v>-20619</v>
      </c>
      <c r="AT29" s="34">
        <f>-26479</f>
        <v>-26479</v>
      </c>
      <c r="AU29" s="34">
        <f t="shared" si="14"/>
        <v>-24951</v>
      </c>
    </row>
    <row r="30" spans="1:47" x14ac:dyDescent="0.2">
      <c r="A30" s="40" t="s">
        <v>138</v>
      </c>
      <c r="B30" s="78">
        <f t="shared" si="0"/>
        <v>1381</v>
      </c>
      <c r="C30" s="78">
        <f t="shared" si="1"/>
        <v>617</v>
      </c>
      <c r="D30" s="78">
        <f t="shared" si="2"/>
        <v>349</v>
      </c>
      <c r="E30" s="78">
        <f t="shared" si="3"/>
        <v>1164</v>
      </c>
      <c r="F30" s="78">
        <f t="shared" si="4"/>
        <v>1182</v>
      </c>
      <c r="G30" s="78">
        <f t="shared" si="5"/>
        <v>1538</v>
      </c>
      <c r="H30" s="78">
        <f t="shared" si="6"/>
        <v>705</v>
      </c>
      <c r="I30" s="78">
        <f t="shared" si="7"/>
        <v>-2781</v>
      </c>
      <c r="J30" s="78">
        <f t="shared" si="8"/>
        <v>-4713</v>
      </c>
      <c r="K30" s="78">
        <f t="shared" si="9"/>
        <v>-5496</v>
      </c>
      <c r="L30" s="34">
        <f t="shared" si="10"/>
        <v>-7381</v>
      </c>
      <c r="M30" s="34">
        <f t="shared" si="11"/>
        <v>-9131</v>
      </c>
      <c r="N30" s="34">
        <f>SUM(N27:N29)</f>
        <v>-12961</v>
      </c>
      <c r="O30" s="34">
        <f>SUM(O27:O29)</f>
        <v>-25823</v>
      </c>
      <c r="P30" s="34">
        <f>SUM(P27:P29)</f>
        <v>-48402</v>
      </c>
      <c r="Q30" s="40"/>
      <c r="R30" s="78">
        <v>215</v>
      </c>
      <c r="S30" s="78">
        <v>1166</v>
      </c>
      <c r="T30" s="78">
        <v>271</v>
      </c>
      <c r="U30" s="78">
        <v>346</v>
      </c>
      <c r="V30" s="78">
        <v>292</v>
      </c>
      <c r="W30" s="78">
        <v>57</v>
      </c>
      <c r="X30" s="78">
        <v>149</v>
      </c>
      <c r="Y30" s="78">
        <v>1015</v>
      </c>
      <c r="Z30" s="78">
        <v>405</v>
      </c>
      <c r="AA30" s="78">
        <v>777</v>
      </c>
      <c r="AB30" s="78">
        <v>739</v>
      </c>
      <c r="AC30" s="78">
        <v>799</v>
      </c>
      <c r="AD30" s="78">
        <v>346</v>
      </c>
      <c r="AE30" s="78">
        <v>359</v>
      </c>
      <c r="AF30" s="78">
        <v>-1088</v>
      </c>
      <c r="AG30" s="78">
        <v>-1693</v>
      </c>
      <c r="AH30" s="78">
        <v>-2113</v>
      </c>
      <c r="AI30" s="78">
        <v>-2600</v>
      </c>
      <c r="AJ30" s="78">
        <v>-2891</v>
      </c>
      <c r="AK30" s="78">
        <v>-2605</v>
      </c>
      <c r="AL30" s="78">
        <v>-3705</v>
      </c>
      <c r="AM30" s="78">
        <v>-3676</v>
      </c>
      <c r="AN30" s="78">
        <f>SUM(AN27:AN29)</f>
        <v>-4270</v>
      </c>
      <c r="AO30" s="34">
        <v>-4861</v>
      </c>
      <c r="AP30" s="78">
        <f>SUM(AP27:AP29)</f>
        <v>-5627</v>
      </c>
      <c r="AQ30" s="78">
        <f t="shared" si="12"/>
        <v>-7334</v>
      </c>
      <c r="AR30" s="78">
        <f>SUM(AR27:AR29)</f>
        <v>-9746</v>
      </c>
      <c r="AS30" s="78">
        <f t="shared" si="16"/>
        <v>-16077</v>
      </c>
      <c r="AT30" s="78">
        <f>SUM(AT27:AT29)</f>
        <v>-25087</v>
      </c>
      <c r="AU30" s="78">
        <f t="shared" si="14"/>
        <v>-23315</v>
      </c>
    </row>
    <row r="31" spans="1:47" x14ac:dyDescent="0.2">
      <c r="A31" s="6" t="s">
        <v>139</v>
      </c>
      <c r="B31" s="34">
        <f t="shared" si="0"/>
        <v>0</v>
      </c>
      <c r="C31" s="34">
        <f t="shared" si="1"/>
        <v>0</v>
      </c>
      <c r="D31" s="34">
        <f t="shared" si="2"/>
        <v>0</v>
      </c>
      <c r="E31" s="34">
        <f t="shared" si="3"/>
        <v>0</v>
      </c>
      <c r="F31" s="34">
        <f t="shared" si="4"/>
        <v>0</v>
      </c>
      <c r="G31" s="34">
        <f t="shared" si="5"/>
        <v>0</v>
      </c>
      <c r="H31" s="34">
        <f t="shared" si="6"/>
        <v>0</v>
      </c>
      <c r="I31" s="34">
        <f t="shared" si="7"/>
        <v>0</v>
      </c>
      <c r="J31" s="34">
        <f t="shared" si="8"/>
        <v>0</v>
      </c>
      <c r="K31" s="34">
        <f t="shared" si="9"/>
        <v>0</v>
      </c>
      <c r="L31" s="34">
        <f t="shared" si="10"/>
        <v>-16</v>
      </c>
      <c r="M31" s="34">
        <f t="shared" si="11"/>
        <v>-37</v>
      </c>
      <c r="N31" s="34">
        <v>66</v>
      </c>
      <c r="O31" s="34">
        <f>-4991</f>
        <v>-4991</v>
      </c>
      <c r="P31" s="34">
        <f>-1963</f>
        <v>-1963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M31" s="34">
        <v>-16</v>
      </c>
      <c r="AN31" s="34">
        <v>-38</v>
      </c>
      <c r="AO31" s="34">
        <v>1</v>
      </c>
      <c r="AP31" s="34">
        <v>17</v>
      </c>
      <c r="AQ31" s="34">
        <f t="shared" si="12"/>
        <v>49</v>
      </c>
      <c r="AR31" s="34">
        <f>-1470</f>
        <v>-1470</v>
      </c>
      <c r="AS31" s="34">
        <f t="shared" si="16"/>
        <v>-3521</v>
      </c>
      <c r="AT31" s="34">
        <f>-504</f>
        <v>-504</v>
      </c>
      <c r="AU31" s="34">
        <f t="shared" si="14"/>
        <v>-1459</v>
      </c>
    </row>
    <row r="32" spans="1:47" x14ac:dyDescent="0.2">
      <c r="A32" s="40" t="s">
        <v>140</v>
      </c>
      <c r="B32" s="78">
        <f t="shared" si="0"/>
        <v>9025</v>
      </c>
      <c r="C32" s="78">
        <f t="shared" si="1"/>
        <v>6526</v>
      </c>
      <c r="D32" s="78">
        <f t="shared" si="2"/>
        <v>8497</v>
      </c>
      <c r="E32" s="78">
        <f t="shared" si="3"/>
        <v>10395</v>
      </c>
      <c r="F32" s="78">
        <f t="shared" si="4"/>
        <v>7431</v>
      </c>
      <c r="G32" s="78">
        <f t="shared" si="5"/>
        <v>6556</v>
      </c>
      <c r="H32" s="78">
        <f t="shared" si="6"/>
        <v>10417</v>
      </c>
      <c r="I32" s="78">
        <f t="shared" si="7"/>
        <v>423</v>
      </c>
      <c r="J32" s="78">
        <f t="shared" si="8"/>
        <v>1771</v>
      </c>
      <c r="K32" s="78">
        <f t="shared" si="9"/>
        <v>4722</v>
      </c>
      <c r="L32" s="34">
        <f t="shared" si="10"/>
        <v>5849</v>
      </c>
      <c r="M32" s="34">
        <f t="shared" si="11"/>
        <v>15887</v>
      </c>
      <c r="N32" s="34">
        <v>-954</v>
      </c>
      <c r="O32" s="34">
        <f>-7093</f>
        <v>-7093</v>
      </c>
      <c r="P32" s="34">
        <v>-24969</v>
      </c>
      <c r="Q32" s="40"/>
      <c r="R32" s="78">
        <v>3555</v>
      </c>
      <c r="S32" s="78">
        <v>5470</v>
      </c>
      <c r="T32" s="78">
        <v>3020</v>
      </c>
      <c r="U32" s="78">
        <v>3506</v>
      </c>
      <c r="V32" s="78">
        <v>3920</v>
      </c>
      <c r="W32" s="78">
        <v>4577</v>
      </c>
      <c r="X32" s="78">
        <v>1229</v>
      </c>
      <c r="Y32" s="78">
        <v>9166</v>
      </c>
      <c r="Z32" s="78">
        <v>2988</v>
      </c>
      <c r="AA32" s="78">
        <v>4443</v>
      </c>
      <c r="AB32" s="78">
        <v>1425</v>
      </c>
      <c r="AC32" s="78">
        <v>5131</v>
      </c>
      <c r="AD32" s="78">
        <v>2876</v>
      </c>
      <c r="AE32" s="78">
        <v>7541</v>
      </c>
      <c r="AF32" s="78">
        <v>-2350</v>
      </c>
      <c r="AG32" s="78">
        <v>2773</v>
      </c>
      <c r="AH32" s="78">
        <v>1416</v>
      </c>
      <c r="AI32" s="78">
        <v>355</v>
      </c>
      <c r="AJ32" s="78">
        <v>-689</v>
      </c>
      <c r="AK32" s="78">
        <v>5411</v>
      </c>
      <c r="AL32" s="78">
        <v>2756</v>
      </c>
      <c r="AM32" s="78">
        <v>3093</v>
      </c>
      <c r="AN32" s="78">
        <v>13086</v>
      </c>
      <c r="AO32" s="78">
        <v>2801</v>
      </c>
      <c r="AP32" s="78">
        <f>AP30+AP25+AP31</f>
        <v>-1617</v>
      </c>
      <c r="AQ32" s="78">
        <f t="shared" si="12"/>
        <v>663</v>
      </c>
      <c r="AR32" s="78">
        <f>AR30+AR25+AR31</f>
        <v>-686</v>
      </c>
      <c r="AS32" s="78">
        <f t="shared" si="16"/>
        <v>-6407</v>
      </c>
      <c r="AT32" s="78">
        <f>AT30+AT25+AT31</f>
        <v>-10374</v>
      </c>
      <c r="AU32" s="78">
        <f t="shared" si="14"/>
        <v>-14595</v>
      </c>
    </row>
    <row r="33" spans="1:47" x14ac:dyDescent="0.2">
      <c r="A33" s="6" t="s">
        <v>141</v>
      </c>
      <c r="B33" s="34">
        <f t="shared" si="0"/>
        <v>-1585</v>
      </c>
      <c r="C33" s="34">
        <f t="shared" si="1"/>
        <v>-1526</v>
      </c>
      <c r="D33" s="34">
        <f t="shared" si="2"/>
        <v>-1833</v>
      </c>
      <c r="E33" s="34">
        <f t="shared" si="3"/>
        <v>-2026</v>
      </c>
      <c r="F33" s="34">
        <f t="shared" si="4"/>
        <v>-2002</v>
      </c>
      <c r="G33" s="34">
        <f t="shared" si="5"/>
        <v>-1654</v>
      </c>
      <c r="H33" s="34">
        <f t="shared" si="6"/>
        <v>-2524</v>
      </c>
      <c r="I33" s="34">
        <f t="shared" si="7"/>
        <v>-1123</v>
      </c>
      <c r="J33" s="34">
        <f t="shared" si="8"/>
        <v>-1585</v>
      </c>
      <c r="K33" s="34">
        <f t="shared" si="9"/>
        <v>-2686</v>
      </c>
      <c r="L33" s="34">
        <f t="shared" si="10"/>
        <v>-2842</v>
      </c>
      <c r="M33" s="34">
        <f t="shared" si="11"/>
        <v>-2886</v>
      </c>
      <c r="N33" s="34">
        <v>-2416</v>
      </c>
      <c r="O33" s="34">
        <f>179</f>
        <v>179</v>
      </c>
      <c r="P33" s="34">
        <v>2633</v>
      </c>
      <c r="R33" s="34">
        <v>-804</v>
      </c>
      <c r="S33" s="34">
        <v>-781</v>
      </c>
      <c r="T33" s="34">
        <v>-651</v>
      </c>
      <c r="U33" s="34">
        <v>-875</v>
      </c>
      <c r="V33" s="34">
        <v>-822</v>
      </c>
      <c r="W33" s="34">
        <v>-1011</v>
      </c>
      <c r="X33" s="34">
        <v>-302</v>
      </c>
      <c r="Y33" s="34">
        <v>-1724</v>
      </c>
      <c r="Z33" s="34">
        <v>-795</v>
      </c>
      <c r="AA33" s="34">
        <v>-1207</v>
      </c>
      <c r="AB33" s="34">
        <v>-117</v>
      </c>
      <c r="AC33" s="34">
        <v>-1537</v>
      </c>
      <c r="AD33" s="34">
        <v>-754</v>
      </c>
      <c r="AE33" s="34">
        <v>-1770</v>
      </c>
      <c r="AF33" s="34">
        <v>369</v>
      </c>
      <c r="AG33" s="34">
        <v>-1492</v>
      </c>
      <c r="AH33" s="34">
        <v>-857</v>
      </c>
      <c r="AI33" s="34">
        <v>-728</v>
      </c>
      <c r="AJ33" s="34">
        <v>-1082</v>
      </c>
      <c r="AK33" s="34">
        <v>-1604</v>
      </c>
      <c r="AL33" s="34">
        <v>-1461</v>
      </c>
      <c r="AM33" s="34">
        <v>-1381</v>
      </c>
      <c r="AN33" s="34">
        <v>-1414</v>
      </c>
      <c r="AO33" s="34">
        <v>-1472</v>
      </c>
      <c r="AP33" s="34">
        <v>-502</v>
      </c>
      <c r="AQ33" s="34">
        <f t="shared" si="12"/>
        <v>-1914</v>
      </c>
      <c r="AR33" s="34">
        <f>-811</f>
        <v>-811</v>
      </c>
      <c r="AS33" s="34">
        <f t="shared" si="16"/>
        <v>990</v>
      </c>
      <c r="AT33" s="34">
        <f>1434</f>
        <v>1434</v>
      </c>
      <c r="AU33" s="34">
        <f t="shared" si="14"/>
        <v>1199</v>
      </c>
    </row>
    <row r="34" spans="1:47" x14ac:dyDescent="0.2">
      <c r="A34" s="40" t="s">
        <v>142</v>
      </c>
      <c r="B34" s="78">
        <f t="shared" si="0"/>
        <v>7440</v>
      </c>
      <c r="C34" s="78">
        <f t="shared" si="1"/>
        <v>5000</v>
      </c>
      <c r="D34" s="78">
        <f t="shared" si="2"/>
        <v>6664</v>
      </c>
      <c r="E34" s="78">
        <f t="shared" si="3"/>
        <v>8369</v>
      </c>
      <c r="F34" s="78">
        <f t="shared" si="4"/>
        <v>5429</v>
      </c>
      <c r="G34" s="78">
        <f t="shared" si="5"/>
        <v>4902</v>
      </c>
      <c r="H34" s="78">
        <f t="shared" si="6"/>
        <v>7893</v>
      </c>
      <c r="I34" s="78">
        <f t="shared" si="7"/>
        <v>-700</v>
      </c>
      <c r="J34" s="78">
        <f t="shared" si="8"/>
        <v>186</v>
      </c>
      <c r="K34" s="78">
        <f t="shared" si="9"/>
        <v>2036</v>
      </c>
      <c r="L34" s="34">
        <f t="shared" si="10"/>
        <v>3007</v>
      </c>
      <c r="M34" s="34">
        <f t="shared" si="11"/>
        <v>13001</v>
      </c>
      <c r="N34" s="34">
        <v>-3370</v>
      </c>
      <c r="O34" s="34">
        <f>-6914</f>
        <v>-6914</v>
      </c>
      <c r="P34" s="34">
        <f>-22336</f>
        <v>-22336</v>
      </c>
      <c r="Q34" s="40"/>
      <c r="R34" s="78">
        <v>2751</v>
      </c>
      <c r="S34" s="78">
        <v>4689</v>
      </c>
      <c r="T34" s="78">
        <v>2369</v>
      </c>
      <c r="U34" s="78">
        <v>2631</v>
      </c>
      <c r="V34" s="78">
        <v>3098</v>
      </c>
      <c r="W34" s="78">
        <v>3566</v>
      </c>
      <c r="X34" s="78">
        <v>927</v>
      </c>
      <c r="Y34" s="78">
        <v>7442</v>
      </c>
      <c r="Z34" s="78">
        <v>2193</v>
      </c>
      <c r="AA34" s="78">
        <v>3236</v>
      </c>
      <c r="AB34" s="78">
        <v>1308</v>
      </c>
      <c r="AC34" s="78">
        <v>3594</v>
      </c>
      <c r="AD34" s="78">
        <v>2122</v>
      </c>
      <c r="AE34" s="78">
        <v>5771</v>
      </c>
      <c r="AF34" s="78">
        <v>-1981</v>
      </c>
      <c r="AG34" s="78">
        <v>1281</v>
      </c>
      <c r="AH34" s="78">
        <v>559</v>
      </c>
      <c r="AI34" s="78">
        <v>-373</v>
      </c>
      <c r="AJ34" s="78">
        <v>-1771</v>
      </c>
      <c r="AK34" s="78">
        <v>3807</v>
      </c>
      <c r="AL34" s="34">
        <v>1295</v>
      </c>
      <c r="AM34" s="34">
        <v>1712</v>
      </c>
      <c r="AN34" s="34">
        <f>AN32+AN33</f>
        <v>11672</v>
      </c>
      <c r="AO34" s="34">
        <v>1329</v>
      </c>
      <c r="AP34" s="34">
        <f>AP32+AP33</f>
        <v>-2119</v>
      </c>
      <c r="AQ34" s="34">
        <f t="shared" si="12"/>
        <v>-1251</v>
      </c>
      <c r="AR34" s="34">
        <f>AR32+AR33</f>
        <v>-1497</v>
      </c>
      <c r="AS34" s="34">
        <f t="shared" si="16"/>
        <v>-5417</v>
      </c>
      <c r="AT34" s="34">
        <f>AT32+AT33</f>
        <v>-8940</v>
      </c>
      <c r="AU34" s="34">
        <f t="shared" si="14"/>
        <v>-13396</v>
      </c>
    </row>
    <row r="35" spans="1:47" x14ac:dyDescent="0.2">
      <c r="A35" s="38" t="s">
        <v>143</v>
      </c>
      <c r="B35" s="79">
        <f t="shared" si="0"/>
        <v>7440</v>
      </c>
      <c r="C35" s="79">
        <f t="shared" si="1"/>
        <v>5000</v>
      </c>
      <c r="D35" s="79">
        <f t="shared" si="2"/>
        <v>6664</v>
      </c>
      <c r="E35" s="79">
        <f t="shared" si="3"/>
        <v>8369</v>
      </c>
      <c r="F35" s="79">
        <f t="shared" si="4"/>
        <v>5429</v>
      </c>
      <c r="G35" s="79">
        <f t="shared" si="5"/>
        <v>4902</v>
      </c>
      <c r="H35" s="79">
        <f t="shared" si="6"/>
        <v>7893</v>
      </c>
      <c r="I35" s="79">
        <f t="shared" si="7"/>
        <v>-700</v>
      </c>
      <c r="J35" s="79">
        <f t="shared" si="8"/>
        <v>186</v>
      </c>
      <c r="K35" s="79">
        <f t="shared" si="9"/>
        <v>2036</v>
      </c>
      <c r="L35" s="79">
        <f t="shared" si="10"/>
        <v>3007</v>
      </c>
      <c r="M35" s="79">
        <f t="shared" si="11"/>
        <v>13001</v>
      </c>
      <c r="N35" s="79">
        <v>-3370</v>
      </c>
      <c r="O35" s="79">
        <f>-6914</f>
        <v>-6914</v>
      </c>
      <c r="P35" s="79">
        <f>-22336</f>
        <v>-22336</v>
      </c>
      <c r="Q35" s="32"/>
      <c r="R35" s="79">
        <v>2751</v>
      </c>
      <c r="S35" s="79">
        <v>4689</v>
      </c>
      <c r="T35" s="79">
        <v>2369</v>
      </c>
      <c r="U35" s="79">
        <v>2631</v>
      </c>
      <c r="V35" s="79">
        <v>3098</v>
      </c>
      <c r="W35" s="79">
        <v>3566</v>
      </c>
      <c r="X35" s="79">
        <v>927</v>
      </c>
      <c r="Y35" s="79">
        <v>7442</v>
      </c>
      <c r="Z35" s="79">
        <v>2193</v>
      </c>
      <c r="AA35" s="79">
        <v>3236</v>
      </c>
      <c r="AB35" s="79">
        <v>1308</v>
      </c>
      <c r="AC35" s="79">
        <v>3594</v>
      </c>
      <c r="AD35" s="79">
        <v>2122</v>
      </c>
      <c r="AE35" s="79">
        <v>5771</v>
      </c>
      <c r="AF35" s="79">
        <v>-1981</v>
      </c>
      <c r="AG35" s="79">
        <v>1281</v>
      </c>
      <c r="AH35" s="79">
        <v>559</v>
      </c>
      <c r="AI35" s="79">
        <v>-373</v>
      </c>
      <c r="AJ35" s="79">
        <v>-1771</v>
      </c>
      <c r="AK35" s="79">
        <v>3807</v>
      </c>
      <c r="AL35" s="80">
        <v>1295</v>
      </c>
      <c r="AM35" s="62">
        <v>1712</v>
      </c>
      <c r="AN35" s="62">
        <f>AN34</f>
        <v>11672</v>
      </c>
      <c r="AO35" s="62">
        <v>1329</v>
      </c>
      <c r="AP35" s="62">
        <f>AP34</f>
        <v>-2119</v>
      </c>
      <c r="AQ35" s="62">
        <f t="shared" si="12"/>
        <v>-1251</v>
      </c>
      <c r="AR35" s="62">
        <f>AR34</f>
        <v>-1497</v>
      </c>
      <c r="AS35" s="62">
        <f t="shared" si="16"/>
        <v>-5417</v>
      </c>
      <c r="AT35" s="62">
        <f>AT34</f>
        <v>-8940</v>
      </c>
      <c r="AU35" s="62">
        <f t="shared" si="14"/>
        <v>-13396</v>
      </c>
    </row>
    <row r="36" spans="1:47" x14ac:dyDescent="0.2">
      <c r="B36" s="34">
        <f t="shared" si="0"/>
        <v>0</v>
      </c>
      <c r="C36" s="34">
        <f t="shared" si="1"/>
        <v>0</v>
      </c>
      <c r="D36" s="34">
        <f t="shared" si="2"/>
        <v>0</v>
      </c>
      <c r="E36" s="34">
        <f t="shared" si="3"/>
        <v>0</v>
      </c>
      <c r="F36" s="34">
        <f t="shared" si="4"/>
        <v>0</v>
      </c>
      <c r="G36" s="34">
        <f t="shared" si="5"/>
        <v>0</v>
      </c>
      <c r="H36" s="34">
        <f t="shared" si="6"/>
        <v>0</v>
      </c>
      <c r="I36" s="34">
        <f t="shared" si="7"/>
        <v>0</v>
      </c>
      <c r="J36" s="34">
        <f t="shared" si="8"/>
        <v>0</v>
      </c>
      <c r="K36" s="34">
        <f t="shared" si="9"/>
        <v>0</v>
      </c>
      <c r="L36" s="34">
        <f t="shared" si="10"/>
        <v>0</v>
      </c>
      <c r="M36" s="34">
        <f t="shared" si="11"/>
        <v>0</v>
      </c>
      <c r="N36" s="34">
        <f ca="1">SUM(AP36:AQ36)</f>
        <v>0</v>
      </c>
      <c r="O36" s="34">
        <f>SUM(AR36:AS36)</f>
        <v>0</v>
      </c>
      <c r="P36" s="34">
        <f>SUM(AS36:AT36)</f>
        <v>0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M36" s="34"/>
      <c r="AN36" s="34"/>
      <c r="AO36" s="34"/>
      <c r="AP36" s="34"/>
      <c r="AQ36" s="34">
        <f t="shared" ca="1" si="12"/>
        <v>0</v>
      </c>
      <c r="AR36" s="34"/>
      <c r="AS36" s="34"/>
      <c r="AT36" s="34"/>
      <c r="AU36" s="34"/>
    </row>
    <row r="37" spans="1:47" x14ac:dyDescent="0.2">
      <c r="A37" s="42" t="s">
        <v>144</v>
      </c>
      <c r="B37" s="82">
        <f t="shared" si="0"/>
        <v>0</v>
      </c>
      <c r="C37" s="82">
        <f t="shared" si="1"/>
        <v>0</v>
      </c>
      <c r="D37" s="82">
        <f t="shared" si="2"/>
        <v>0</v>
      </c>
      <c r="E37" s="82">
        <f t="shared" si="3"/>
        <v>0</v>
      </c>
      <c r="F37" s="82">
        <f t="shared" si="4"/>
        <v>0</v>
      </c>
      <c r="G37" s="82">
        <f t="shared" si="5"/>
        <v>0</v>
      </c>
      <c r="H37" s="82">
        <f t="shared" si="6"/>
        <v>0</v>
      </c>
      <c r="I37" s="82">
        <f t="shared" si="7"/>
        <v>0</v>
      </c>
      <c r="J37" s="82">
        <f t="shared" si="8"/>
        <v>0</v>
      </c>
      <c r="K37" s="82">
        <f t="shared" si="9"/>
        <v>0</v>
      </c>
      <c r="L37" s="34">
        <f t="shared" si="10"/>
        <v>0</v>
      </c>
      <c r="M37" s="34">
        <f t="shared" si="11"/>
        <v>0</v>
      </c>
      <c r="N37" s="34">
        <f ca="1">SUM(AP37:AQ37)</f>
        <v>0</v>
      </c>
      <c r="O37" s="34">
        <f>SUM(AR37:AS37)</f>
        <v>0</v>
      </c>
      <c r="P37" s="34">
        <f>SUM(AS37:AT37)</f>
        <v>0</v>
      </c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M37" s="34"/>
      <c r="AN37" s="34"/>
      <c r="AO37" s="34"/>
      <c r="AP37" s="34"/>
      <c r="AQ37" s="34">
        <f t="shared" ca="1" si="12"/>
        <v>0</v>
      </c>
      <c r="AR37" s="34"/>
      <c r="AS37" s="34"/>
      <c r="AT37" s="34"/>
      <c r="AU37" s="34"/>
    </row>
    <row r="38" spans="1:47" x14ac:dyDescent="0.2">
      <c r="A38" s="6" t="s">
        <v>145</v>
      </c>
      <c r="B38" s="34">
        <f t="shared" si="0"/>
        <v>7332</v>
      </c>
      <c r="C38" s="34">
        <f t="shared" si="1"/>
        <v>4979</v>
      </c>
      <c r="D38" s="34">
        <f t="shared" si="2"/>
        <v>6629</v>
      </c>
      <c r="E38" s="34">
        <f t="shared" si="3"/>
        <v>8345</v>
      </c>
      <c r="F38" s="34">
        <f t="shared" si="4"/>
        <v>5399</v>
      </c>
      <c r="G38" s="34">
        <f t="shared" si="5"/>
        <v>4902</v>
      </c>
      <c r="H38" s="34">
        <f t="shared" si="6"/>
        <v>7890</v>
      </c>
      <c r="I38" s="34">
        <f t="shared" si="7"/>
        <v>-702</v>
      </c>
      <c r="J38" s="34">
        <f t="shared" si="8"/>
        <v>795</v>
      </c>
      <c r="K38" s="34">
        <f t="shared" si="9"/>
        <v>2036</v>
      </c>
      <c r="L38" s="83">
        <f t="shared" si="10"/>
        <v>3007</v>
      </c>
      <c r="M38" s="83">
        <f t="shared" si="11"/>
        <v>12948</v>
      </c>
      <c r="N38" s="83">
        <v>-3370</v>
      </c>
      <c r="O38" s="83">
        <f>-6914</f>
        <v>-6914</v>
      </c>
      <c r="P38" s="83">
        <f>-21526</f>
        <v>-21526</v>
      </c>
      <c r="R38" s="34">
        <v>2723</v>
      </c>
      <c r="S38" s="34">
        <v>4609</v>
      </c>
      <c r="T38" s="34">
        <v>2342</v>
      </c>
      <c r="U38" s="34">
        <v>2637</v>
      </c>
      <c r="V38" s="34">
        <v>3083</v>
      </c>
      <c r="W38" s="34">
        <v>3546</v>
      </c>
      <c r="X38" s="34">
        <v>927</v>
      </c>
      <c r="Y38" s="34">
        <v>7418</v>
      </c>
      <c r="Z38" s="34">
        <v>2188</v>
      </c>
      <c r="AA38" s="34">
        <v>3211</v>
      </c>
      <c r="AB38" s="34">
        <v>1307</v>
      </c>
      <c r="AC38" s="34">
        <v>3595</v>
      </c>
      <c r="AD38" s="34">
        <v>2118</v>
      </c>
      <c r="AE38" s="34">
        <v>5772</v>
      </c>
      <c r="AF38" s="34">
        <v>-1982</v>
      </c>
      <c r="AG38" s="34">
        <v>1280</v>
      </c>
      <c r="AH38" s="34">
        <v>1142</v>
      </c>
      <c r="AI38" s="34">
        <v>-347</v>
      </c>
      <c r="AJ38" s="34">
        <v>-1772</v>
      </c>
      <c r="AK38" s="34">
        <v>3808</v>
      </c>
      <c r="AL38" s="83">
        <v>1295</v>
      </c>
      <c r="AM38" s="83">
        <v>1712</v>
      </c>
      <c r="AN38" s="83">
        <v>11663</v>
      </c>
      <c r="AO38" s="83">
        <v>1285</v>
      </c>
      <c r="AP38" s="83">
        <f>AP35-AP39</f>
        <v>-2119</v>
      </c>
      <c r="AQ38" s="83">
        <f t="shared" si="12"/>
        <v>-1251</v>
      </c>
      <c r="AR38" s="83">
        <f>AR35-AR39</f>
        <v>-1497</v>
      </c>
      <c r="AS38" s="83">
        <f>O38-AR38</f>
        <v>-5417</v>
      </c>
      <c r="AT38" s="83">
        <f>AT35-AT39</f>
        <v>-8940</v>
      </c>
      <c r="AU38" s="83">
        <f t="shared" si="14"/>
        <v>-12586</v>
      </c>
    </row>
    <row r="39" spans="1:47" x14ac:dyDescent="0.2">
      <c r="A39" s="6" t="s">
        <v>146</v>
      </c>
      <c r="B39" s="34">
        <f t="shared" si="0"/>
        <v>108</v>
      </c>
      <c r="C39" s="34">
        <f t="shared" si="1"/>
        <v>21</v>
      </c>
      <c r="D39" s="34">
        <f t="shared" si="2"/>
        <v>35</v>
      </c>
      <c r="E39" s="34">
        <f t="shared" si="3"/>
        <v>24</v>
      </c>
      <c r="F39" s="34">
        <f t="shared" si="4"/>
        <v>30</v>
      </c>
      <c r="G39" s="34">
        <f t="shared" si="5"/>
        <v>0</v>
      </c>
      <c r="H39" s="34">
        <f t="shared" si="6"/>
        <v>3</v>
      </c>
      <c r="I39" s="34">
        <f t="shared" si="7"/>
        <v>2</v>
      </c>
      <c r="J39" s="34">
        <f t="shared" si="8"/>
        <v>-609</v>
      </c>
      <c r="K39" s="34">
        <f t="shared" si="9"/>
        <v>0</v>
      </c>
      <c r="L39" s="34">
        <f t="shared" si="10"/>
        <v>0</v>
      </c>
      <c r="M39" s="34">
        <f t="shared" si="11"/>
        <v>53</v>
      </c>
      <c r="N39" s="34">
        <v>0</v>
      </c>
      <c r="O39" s="34">
        <f>0</f>
        <v>0</v>
      </c>
      <c r="P39" s="34">
        <f>-810</f>
        <v>-810</v>
      </c>
      <c r="R39" s="34">
        <v>28</v>
      </c>
      <c r="S39" s="34">
        <v>80</v>
      </c>
      <c r="T39" s="34">
        <v>27</v>
      </c>
      <c r="U39" s="34">
        <v>-6</v>
      </c>
      <c r="V39" s="34">
        <v>15</v>
      </c>
      <c r="W39" s="34">
        <v>20</v>
      </c>
      <c r="X39" s="34">
        <v>0</v>
      </c>
      <c r="Y39" s="34">
        <v>24</v>
      </c>
      <c r="Z39" s="34">
        <v>5</v>
      </c>
      <c r="AA39" s="34">
        <v>25</v>
      </c>
      <c r="AB39" s="34">
        <v>1</v>
      </c>
      <c r="AC39" s="34">
        <v>-1</v>
      </c>
      <c r="AD39" s="34">
        <v>4</v>
      </c>
      <c r="AE39" s="34">
        <v>-1</v>
      </c>
      <c r="AF39" s="34">
        <v>1</v>
      </c>
      <c r="AG39" s="34">
        <v>1</v>
      </c>
      <c r="AH39" s="34">
        <v>-583</v>
      </c>
      <c r="AI39" s="34">
        <v>-26</v>
      </c>
      <c r="AJ39" s="34">
        <v>1</v>
      </c>
      <c r="AK39" s="34">
        <v>-1</v>
      </c>
      <c r="AL39" s="34">
        <v>0</v>
      </c>
      <c r="AM39" s="34">
        <v>0</v>
      </c>
      <c r="AN39" s="34">
        <v>9</v>
      </c>
      <c r="AO39" s="34">
        <v>44</v>
      </c>
      <c r="AP39" s="34">
        <v>0</v>
      </c>
      <c r="AQ39" s="34">
        <f t="shared" si="12"/>
        <v>0</v>
      </c>
      <c r="AR39" s="34">
        <f>0</f>
        <v>0</v>
      </c>
      <c r="AS39" s="34">
        <f t="shared" ref="AS39" si="17">O39-AR39</f>
        <v>0</v>
      </c>
      <c r="AT39" s="34">
        <f>0</f>
        <v>0</v>
      </c>
      <c r="AU39" s="34">
        <f t="shared" si="14"/>
        <v>-810</v>
      </c>
    </row>
    <row r="40" spans="1:47" x14ac:dyDescent="0.2">
      <c r="A40" s="38" t="s">
        <v>142</v>
      </c>
      <c r="B40" s="79">
        <f t="shared" si="0"/>
        <v>7440</v>
      </c>
      <c r="C40" s="79">
        <f t="shared" si="1"/>
        <v>5000</v>
      </c>
      <c r="D40" s="79">
        <f t="shared" si="2"/>
        <v>6664</v>
      </c>
      <c r="E40" s="79">
        <f t="shared" si="3"/>
        <v>8369</v>
      </c>
      <c r="F40" s="79">
        <f t="shared" si="4"/>
        <v>5429</v>
      </c>
      <c r="G40" s="79">
        <f t="shared" si="5"/>
        <v>4902</v>
      </c>
      <c r="H40" s="79">
        <f t="shared" si="6"/>
        <v>7893</v>
      </c>
      <c r="I40" s="79">
        <f t="shared" si="7"/>
        <v>-700</v>
      </c>
      <c r="J40" s="79">
        <f t="shared" si="8"/>
        <v>186</v>
      </c>
      <c r="K40" s="79">
        <f t="shared" si="9"/>
        <v>2036</v>
      </c>
      <c r="L40" s="79">
        <f t="shared" si="10"/>
        <v>3007</v>
      </c>
      <c r="M40" s="79">
        <f t="shared" si="11"/>
        <v>13001</v>
      </c>
      <c r="N40" s="79">
        <v>-3370</v>
      </c>
      <c r="O40" s="79">
        <f>-6914</f>
        <v>-6914</v>
      </c>
      <c r="P40" s="79">
        <f>-22336</f>
        <v>-22336</v>
      </c>
      <c r="Q40" s="32"/>
      <c r="R40" s="79">
        <v>2751</v>
      </c>
      <c r="S40" s="79">
        <v>4689</v>
      </c>
      <c r="T40" s="79">
        <v>2369</v>
      </c>
      <c r="U40" s="79">
        <v>2631</v>
      </c>
      <c r="V40" s="79">
        <v>3098</v>
      </c>
      <c r="W40" s="79">
        <v>3566</v>
      </c>
      <c r="X40" s="79">
        <v>927</v>
      </c>
      <c r="Y40" s="79">
        <v>7442</v>
      </c>
      <c r="Z40" s="79">
        <v>2193</v>
      </c>
      <c r="AA40" s="79">
        <v>3236</v>
      </c>
      <c r="AB40" s="79">
        <v>1308</v>
      </c>
      <c r="AC40" s="79">
        <v>3594</v>
      </c>
      <c r="AD40" s="79">
        <v>2122</v>
      </c>
      <c r="AE40" s="79">
        <v>5771</v>
      </c>
      <c r="AF40" s="79">
        <v>-1981</v>
      </c>
      <c r="AG40" s="79">
        <v>1281</v>
      </c>
      <c r="AH40" s="79">
        <v>559</v>
      </c>
      <c r="AI40" s="79">
        <v>-373</v>
      </c>
      <c r="AJ40" s="79">
        <v>-1771</v>
      </c>
      <c r="AK40" s="79">
        <v>3807</v>
      </c>
      <c r="AL40" s="62">
        <v>1295</v>
      </c>
      <c r="AM40" s="62">
        <v>1712</v>
      </c>
      <c r="AN40" s="62">
        <f>SUM(AN38:AN39)</f>
        <v>11672</v>
      </c>
      <c r="AO40" s="62">
        <v>1329</v>
      </c>
      <c r="AP40" s="62">
        <f>SUM(AP38:AP39)</f>
        <v>-2119</v>
      </c>
      <c r="AQ40" s="62">
        <f t="shared" si="12"/>
        <v>-1251</v>
      </c>
      <c r="AR40" s="62">
        <f>SUM(AR38:AR39)</f>
        <v>-1497</v>
      </c>
      <c r="AS40" s="62">
        <f>O40-AR40</f>
        <v>-5417</v>
      </c>
      <c r="AT40" s="62">
        <f>SUM(AT38:AT39)</f>
        <v>-8940</v>
      </c>
      <c r="AU40" s="62">
        <f t="shared" si="14"/>
        <v>-13396</v>
      </c>
    </row>
    <row r="41" spans="1:47" x14ac:dyDescent="0.2">
      <c r="B41" s="34">
        <f t="shared" si="0"/>
        <v>0</v>
      </c>
      <c r="C41" s="34">
        <f t="shared" si="1"/>
        <v>0</v>
      </c>
      <c r="D41" s="34">
        <f t="shared" si="2"/>
        <v>0</v>
      </c>
      <c r="E41" s="34">
        <f t="shared" si="3"/>
        <v>0</v>
      </c>
      <c r="F41" s="34">
        <f t="shared" si="4"/>
        <v>0</v>
      </c>
      <c r="G41" s="34">
        <f t="shared" si="5"/>
        <v>0</v>
      </c>
      <c r="H41" s="34">
        <f t="shared" si="6"/>
        <v>0</v>
      </c>
      <c r="I41" s="34">
        <f t="shared" si="7"/>
        <v>0</v>
      </c>
      <c r="J41" s="34">
        <f t="shared" si="8"/>
        <v>0</v>
      </c>
      <c r="K41" s="34">
        <f t="shared" si="9"/>
        <v>0</v>
      </c>
      <c r="L41" s="34">
        <f t="shared" si="10"/>
        <v>0</v>
      </c>
      <c r="M41" s="34">
        <f t="shared" si="11"/>
        <v>0</v>
      </c>
      <c r="N41" s="34">
        <f ca="1">SUM(AP41:AQ41)</f>
        <v>0</v>
      </c>
      <c r="O41" s="34">
        <f t="shared" ref="O41:O42" si="18">SUM(AR41:AS41)</f>
        <v>0</v>
      </c>
      <c r="P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M41" s="34"/>
      <c r="AN41" s="34"/>
      <c r="AO41" s="34"/>
      <c r="AP41" s="34"/>
      <c r="AQ41" s="34">
        <f t="shared" ca="1" si="12"/>
        <v>0</v>
      </c>
      <c r="AR41" s="34"/>
      <c r="AS41" s="34"/>
      <c r="AT41" s="34"/>
      <c r="AU41" s="34"/>
    </row>
    <row r="42" spans="1:47" x14ac:dyDescent="0.2">
      <c r="A42" s="42" t="s">
        <v>147</v>
      </c>
      <c r="B42" s="82">
        <f t="shared" si="0"/>
        <v>0</v>
      </c>
      <c r="C42" s="82">
        <f t="shared" si="1"/>
        <v>0</v>
      </c>
      <c r="D42" s="82">
        <f t="shared" si="2"/>
        <v>0</v>
      </c>
      <c r="E42" s="82">
        <f t="shared" si="3"/>
        <v>0</v>
      </c>
      <c r="F42" s="82">
        <f t="shared" si="4"/>
        <v>0</v>
      </c>
      <c r="G42" s="82">
        <f t="shared" si="5"/>
        <v>0</v>
      </c>
      <c r="H42" s="82">
        <f t="shared" si="6"/>
        <v>0</v>
      </c>
      <c r="I42" s="82">
        <f t="shared" si="7"/>
        <v>0</v>
      </c>
      <c r="J42" s="82">
        <f t="shared" si="8"/>
        <v>0</v>
      </c>
      <c r="K42" s="82">
        <f t="shared" si="9"/>
        <v>0</v>
      </c>
      <c r="L42" s="34">
        <f t="shared" si="10"/>
        <v>0</v>
      </c>
      <c r="M42" s="34">
        <f t="shared" si="11"/>
        <v>0</v>
      </c>
      <c r="N42" s="34">
        <f ca="1">SUM(AP42:AQ42)</f>
        <v>0</v>
      </c>
      <c r="O42" s="34">
        <f t="shared" si="18"/>
        <v>0</v>
      </c>
      <c r="P42" s="34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M42" s="34"/>
      <c r="AN42" s="34"/>
      <c r="AO42" s="34"/>
      <c r="AP42" s="34"/>
      <c r="AQ42" s="34">
        <f t="shared" ca="1" si="12"/>
        <v>0</v>
      </c>
      <c r="AR42" s="34"/>
      <c r="AS42" s="34"/>
      <c r="AT42" s="34"/>
      <c r="AU42" s="34"/>
    </row>
    <row r="43" spans="1:47" x14ac:dyDescent="0.2">
      <c r="A43" s="6" t="s">
        <v>145</v>
      </c>
      <c r="B43" s="34">
        <f t="shared" si="0"/>
        <v>7332</v>
      </c>
      <c r="C43" s="34">
        <f t="shared" si="1"/>
        <v>4979</v>
      </c>
      <c r="D43" s="34">
        <f t="shared" si="2"/>
        <v>6629</v>
      </c>
      <c r="E43" s="34">
        <f t="shared" si="3"/>
        <v>8345</v>
      </c>
      <c r="F43" s="34">
        <f t="shared" si="4"/>
        <v>5399</v>
      </c>
      <c r="G43" s="34">
        <f t="shared" si="5"/>
        <v>4902</v>
      </c>
      <c r="H43" s="34">
        <f t="shared" si="6"/>
        <v>7890</v>
      </c>
      <c r="I43" s="34">
        <f t="shared" si="7"/>
        <v>-702</v>
      </c>
      <c r="J43" s="34">
        <f t="shared" si="8"/>
        <v>795</v>
      </c>
      <c r="K43" s="34">
        <f t="shared" si="9"/>
        <v>2036</v>
      </c>
      <c r="L43" s="83">
        <f t="shared" si="10"/>
        <v>3007</v>
      </c>
      <c r="M43" s="83">
        <f t="shared" si="11"/>
        <v>12948</v>
      </c>
      <c r="N43" s="83">
        <v>-3370</v>
      </c>
      <c r="O43" s="83">
        <f>-6914</f>
        <v>-6914</v>
      </c>
      <c r="P43" s="83">
        <f>-21526</f>
        <v>-21526</v>
      </c>
      <c r="R43" s="34">
        <v>2723</v>
      </c>
      <c r="S43" s="34">
        <v>4609</v>
      </c>
      <c r="T43" s="34">
        <v>2342</v>
      </c>
      <c r="U43" s="34">
        <v>2637</v>
      </c>
      <c r="V43" s="34">
        <v>3083</v>
      </c>
      <c r="W43" s="34">
        <v>3546</v>
      </c>
      <c r="X43" s="34">
        <v>927</v>
      </c>
      <c r="Y43" s="34">
        <v>7418</v>
      </c>
      <c r="Z43" s="34">
        <v>2188</v>
      </c>
      <c r="AA43" s="34">
        <v>3211</v>
      </c>
      <c r="AB43" s="34">
        <v>1307</v>
      </c>
      <c r="AC43" s="34">
        <v>3595</v>
      </c>
      <c r="AD43" s="34">
        <v>2118</v>
      </c>
      <c r="AE43" s="34">
        <v>5772</v>
      </c>
      <c r="AF43" s="34">
        <v>-1982</v>
      </c>
      <c r="AG43" s="34">
        <v>1280</v>
      </c>
      <c r="AH43" s="34">
        <v>1142</v>
      </c>
      <c r="AI43" s="34">
        <v>-347</v>
      </c>
      <c r="AJ43" s="34">
        <v>-1772</v>
      </c>
      <c r="AK43" s="34">
        <v>3808</v>
      </c>
      <c r="AL43" s="83">
        <v>1295</v>
      </c>
      <c r="AM43" s="83">
        <v>1712</v>
      </c>
      <c r="AN43" s="83">
        <v>11663</v>
      </c>
      <c r="AO43" s="83">
        <v>1285</v>
      </c>
      <c r="AP43" s="83">
        <f>AP38</f>
        <v>-2119</v>
      </c>
      <c r="AQ43" s="83">
        <f t="shared" si="12"/>
        <v>-1251</v>
      </c>
      <c r="AR43" s="83">
        <f>AR38</f>
        <v>-1497</v>
      </c>
      <c r="AS43" s="83">
        <f>O43-AR43</f>
        <v>-5417</v>
      </c>
      <c r="AT43" s="83">
        <f>AT38</f>
        <v>-8940</v>
      </c>
      <c r="AU43" s="83">
        <f t="shared" si="14"/>
        <v>-12586</v>
      </c>
    </row>
    <row r="44" spans="1:47" x14ac:dyDescent="0.2">
      <c r="A44" s="6" t="s">
        <v>146</v>
      </c>
      <c r="B44" s="34">
        <f t="shared" si="0"/>
        <v>108</v>
      </c>
      <c r="C44" s="34">
        <f t="shared" si="1"/>
        <v>21</v>
      </c>
      <c r="D44" s="34">
        <f t="shared" si="2"/>
        <v>35</v>
      </c>
      <c r="E44" s="34">
        <f t="shared" si="3"/>
        <v>24</v>
      </c>
      <c r="F44" s="34">
        <f t="shared" si="4"/>
        <v>30</v>
      </c>
      <c r="G44" s="34">
        <f t="shared" si="5"/>
        <v>0</v>
      </c>
      <c r="H44" s="34">
        <f t="shared" si="6"/>
        <v>3</v>
      </c>
      <c r="I44" s="34">
        <f t="shared" si="7"/>
        <v>2</v>
      </c>
      <c r="J44" s="34">
        <f t="shared" si="8"/>
        <v>-609</v>
      </c>
      <c r="K44" s="34">
        <f t="shared" si="9"/>
        <v>0</v>
      </c>
      <c r="L44" s="34">
        <f t="shared" si="10"/>
        <v>0</v>
      </c>
      <c r="M44" s="34">
        <f t="shared" si="11"/>
        <v>53</v>
      </c>
      <c r="N44" s="34">
        <v>0</v>
      </c>
      <c r="O44" s="34">
        <f>0</f>
        <v>0</v>
      </c>
      <c r="P44" s="34">
        <f>-810</f>
        <v>-810</v>
      </c>
      <c r="R44" s="34">
        <v>28</v>
      </c>
      <c r="S44" s="34">
        <v>80</v>
      </c>
      <c r="T44" s="34">
        <v>27</v>
      </c>
      <c r="U44" s="34">
        <v>-6</v>
      </c>
      <c r="V44" s="34">
        <v>15</v>
      </c>
      <c r="W44" s="34">
        <v>20</v>
      </c>
      <c r="X44" s="34">
        <v>0</v>
      </c>
      <c r="Y44" s="34">
        <v>24</v>
      </c>
      <c r="Z44" s="34">
        <v>5</v>
      </c>
      <c r="AA44" s="34">
        <v>25</v>
      </c>
      <c r="AB44" s="34">
        <v>1</v>
      </c>
      <c r="AC44" s="34">
        <v>-1</v>
      </c>
      <c r="AD44" s="34">
        <v>4</v>
      </c>
      <c r="AE44" s="34">
        <v>-1</v>
      </c>
      <c r="AF44" s="34">
        <v>1</v>
      </c>
      <c r="AG44" s="34">
        <v>1</v>
      </c>
      <c r="AH44" s="34">
        <v>-583</v>
      </c>
      <c r="AI44" s="34">
        <v>-26</v>
      </c>
      <c r="AJ44" s="34">
        <v>1</v>
      </c>
      <c r="AK44" s="34">
        <v>-1</v>
      </c>
      <c r="AL44" s="34">
        <v>0</v>
      </c>
      <c r="AM44" s="34">
        <v>0</v>
      </c>
      <c r="AN44" s="34">
        <v>9</v>
      </c>
      <c r="AO44" s="34">
        <v>44</v>
      </c>
      <c r="AP44" s="34">
        <v>0</v>
      </c>
      <c r="AQ44" s="34">
        <f t="shared" si="12"/>
        <v>0</v>
      </c>
      <c r="AR44" s="34">
        <v>0</v>
      </c>
      <c r="AS44" s="34">
        <f t="shared" ref="AS44" si="19">O44-AR44</f>
        <v>0</v>
      </c>
      <c r="AT44" s="34">
        <v>0</v>
      </c>
      <c r="AU44" s="34">
        <f t="shared" si="14"/>
        <v>-810</v>
      </c>
    </row>
    <row r="45" spans="1:47" x14ac:dyDescent="0.2">
      <c r="A45" s="38" t="s">
        <v>143</v>
      </c>
      <c r="B45" s="79">
        <f t="shared" si="0"/>
        <v>7440</v>
      </c>
      <c r="C45" s="79">
        <f t="shared" si="1"/>
        <v>5000</v>
      </c>
      <c r="D45" s="79">
        <f t="shared" si="2"/>
        <v>6664</v>
      </c>
      <c r="E45" s="79">
        <f t="shared" si="3"/>
        <v>8369</v>
      </c>
      <c r="F45" s="79">
        <f t="shared" si="4"/>
        <v>5429</v>
      </c>
      <c r="G45" s="79">
        <f t="shared" si="5"/>
        <v>4902</v>
      </c>
      <c r="H45" s="79">
        <f t="shared" si="6"/>
        <v>7893</v>
      </c>
      <c r="I45" s="79">
        <f t="shared" si="7"/>
        <v>-700</v>
      </c>
      <c r="J45" s="79">
        <f t="shared" si="8"/>
        <v>186</v>
      </c>
      <c r="K45" s="79">
        <f t="shared" si="9"/>
        <v>2036</v>
      </c>
      <c r="L45" s="79">
        <f t="shared" si="10"/>
        <v>3007</v>
      </c>
      <c r="M45" s="79">
        <f t="shared" si="11"/>
        <v>13001</v>
      </c>
      <c r="N45" s="79">
        <v>-3370</v>
      </c>
      <c r="O45" s="79">
        <f>-6914</f>
        <v>-6914</v>
      </c>
      <c r="P45" s="79">
        <f>-22336</f>
        <v>-22336</v>
      </c>
      <c r="Q45" s="32"/>
      <c r="R45" s="79">
        <v>2751</v>
      </c>
      <c r="S45" s="79">
        <v>4689</v>
      </c>
      <c r="T45" s="79">
        <v>2369</v>
      </c>
      <c r="U45" s="79">
        <v>2631</v>
      </c>
      <c r="V45" s="79">
        <v>3098</v>
      </c>
      <c r="W45" s="79">
        <v>3566</v>
      </c>
      <c r="X45" s="79">
        <v>927</v>
      </c>
      <c r="Y45" s="79">
        <v>7442</v>
      </c>
      <c r="Z45" s="79">
        <v>2193</v>
      </c>
      <c r="AA45" s="79">
        <v>3236</v>
      </c>
      <c r="AB45" s="79">
        <v>1308</v>
      </c>
      <c r="AC45" s="79">
        <v>3594</v>
      </c>
      <c r="AD45" s="79">
        <v>2122</v>
      </c>
      <c r="AE45" s="79">
        <v>5771</v>
      </c>
      <c r="AF45" s="79">
        <v>-1981</v>
      </c>
      <c r="AG45" s="79">
        <v>1281</v>
      </c>
      <c r="AH45" s="79">
        <v>559</v>
      </c>
      <c r="AI45" s="79">
        <v>-373</v>
      </c>
      <c r="AJ45" s="79">
        <v>-1771</v>
      </c>
      <c r="AK45" s="79">
        <v>3807</v>
      </c>
      <c r="AL45" s="62">
        <v>1295</v>
      </c>
      <c r="AM45" s="62">
        <v>1712</v>
      </c>
      <c r="AN45" s="62">
        <f>SUM(AN43:AN44)</f>
        <v>11672</v>
      </c>
      <c r="AO45" s="62">
        <v>1329</v>
      </c>
      <c r="AP45" s="62">
        <f>SUM(AP43:AP44)</f>
        <v>-2119</v>
      </c>
      <c r="AQ45" s="62">
        <f t="shared" si="12"/>
        <v>-1251</v>
      </c>
      <c r="AR45" s="62">
        <f>SUM(AR43:AR44)</f>
        <v>-1497</v>
      </c>
      <c r="AS45" s="62">
        <f>O45-AR45</f>
        <v>-5417</v>
      </c>
      <c r="AT45" s="62">
        <f>SUM(AT43:AT44)</f>
        <v>-8940</v>
      </c>
      <c r="AU45" s="62">
        <f t="shared" si="14"/>
        <v>-13396</v>
      </c>
    </row>
    <row r="46" spans="1:47" x14ac:dyDescent="0.2">
      <c r="A46" s="6"/>
      <c r="AC46" s="84"/>
      <c r="AR46" s="6"/>
      <c r="AS46" s="6"/>
      <c r="AT46" s="6"/>
      <c r="AU46" s="6"/>
    </row>
    <row r="47" spans="1:47" x14ac:dyDescent="0.2">
      <c r="A47" s="6"/>
      <c r="AC47" s="84"/>
      <c r="AR47" s="6"/>
      <c r="AS47" s="6"/>
      <c r="AT47" s="6"/>
      <c r="AU47" s="6"/>
    </row>
    <row r="48" spans="1:47" ht="18" x14ac:dyDescent="0.25">
      <c r="A48" s="54" t="s">
        <v>9</v>
      </c>
      <c r="AR48" s="6"/>
      <c r="AS48" s="6"/>
      <c r="AT48" s="6"/>
      <c r="AU48" s="6"/>
    </row>
    <row r="49" spans="1:47" x14ac:dyDescent="0.2">
      <c r="A49" s="35" t="s">
        <v>1</v>
      </c>
      <c r="AR49" s="6"/>
      <c r="AS49" s="6"/>
      <c r="AT49" s="6"/>
      <c r="AU49" s="6"/>
    </row>
    <row r="50" spans="1:47" x14ac:dyDescent="0.2">
      <c r="AR50" s="6"/>
      <c r="AS50" s="6"/>
      <c r="AT50" s="6"/>
      <c r="AU50" s="6"/>
    </row>
    <row r="51" spans="1:47" x14ac:dyDescent="0.2">
      <c r="A51" s="43" t="s">
        <v>5</v>
      </c>
      <c r="B51" s="74">
        <v>2011</v>
      </c>
      <c r="C51" s="74">
        <v>2012</v>
      </c>
      <c r="D51" s="74">
        <v>2013</v>
      </c>
      <c r="E51" s="74">
        <v>2014</v>
      </c>
      <c r="F51" s="74">
        <v>2015</v>
      </c>
      <c r="G51" s="74">
        <v>2016</v>
      </c>
      <c r="H51" s="74">
        <v>2017</v>
      </c>
      <c r="I51" s="74">
        <v>2018</v>
      </c>
      <c r="J51" s="74">
        <v>2019</v>
      </c>
      <c r="K51" s="74">
        <v>2020</v>
      </c>
      <c r="L51" s="74">
        <v>2021</v>
      </c>
      <c r="M51" s="74">
        <v>2022</v>
      </c>
      <c r="N51" s="74">
        <v>2023</v>
      </c>
      <c r="O51" s="74">
        <v>2024</v>
      </c>
      <c r="P51" s="74">
        <v>2025</v>
      </c>
      <c r="R51" s="91" t="s">
        <v>97</v>
      </c>
      <c r="S51" s="91" t="s">
        <v>98</v>
      </c>
      <c r="T51" s="91" t="s">
        <v>99</v>
      </c>
      <c r="U51" s="91" t="s">
        <v>100</v>
      </c>
      <c r="V51" s="91" t="s">
        <v>101</v>
      </c>
      <c r="W51" s="91" t="s">
        <v>102</v>
      </c>
      <c r="X51" s="91" t="s">
        <v>103</v>
      </c>
      <c r="Y51" s="91" t="s">
        <v>104</v>
      </c>
      <c r="Z51" s="91" t="s">
        <v>105</v>
      </c>
      <c r="AA51" s="91" t="s">
        <v>106</v>
      </c>
      <c r="AB51" s="91" t="s">
        <v>107</v>
      </c>
      <c r="AC51" s="92" t="s">
        <v>108</v>
      </c>
      <c r="AD51" s="91" t="s">
        <v>109</v>
      </c>
      <c r="AE51" s="91" t="s">
        <v>110</v>
      </c>
      <c r="AF51" s="91" t="s">
        <v>111</v>
      </c>
      <c r="AG51" s="91" t="s">
        <v>112</v>
      </c>
      <c r="AH51" s="91" t="s">
        <v>113</v>
      </c>
      <c r="AI51" s="91" t="s">
        <v>114</v>
      </c>
      <c r="AJ51" s="91" t="s">
        <v>115</v>
      </c>
      <c r="AK51" s="91" t="s">
        <v>116</v>
      </c>
      <c r="AL51" s="91" t="s">
        <v>272</v>
      </c>
      <c r="AM51" s="91" t="s">
        <v>274</v>
      </c>
      <c r="AN51" s="91" t="s">
        <v>280</v>
      </c>
      <c r="AO51" s="91" t="s">
        <v>285</v>
      </c>
      <c r="AP51" s="91" t="str">
        <f>AP5</f>
        <v>1H 2023</v>
      </c>
      <c r="AQ51" s="91" t="str">
        <f>AQ5</f>
        <v>2H 2023</v>
      </c>
      <c r="AR51" s="91" t="str">
        <f>AR5</f>
        <v>1H 2024</v>
      </c>
      <c r="AS51" s="91" t="s">
        <v>306</v>
      </c>
      <c r="AT51" s="91" t="s">
        <v>315</v>
      </c>
      <c r="AU51" s="91" t="s">
        <v>320</v>
      </c>
    </row>
    <row r="52" spans="1:47" x14ac:dyDescent="0.2">
      <c r="A52" s="40" t="s">
        <v>128</v>
      </c>
      <c r="B52" s="78">
        <f>SUM(PL!R52:S52)</f>
        <v>10853</v>
      </c>
      <c r="C52" s="78">
        <f>SUM(PL!T52:U52)</f>
        <v>9400</v>
      </c>
      <c r="D52" s="78">
        <f>SUM(PL!V52:W52)</f>
        <v>12368</v>
      </c>
      <c r="E52" s="78">
        <f>SUM(PL!X52:Y52)</f>
        <v>15796</v>
      </c>
      <c r="F52" s="78">
        <f>SUM(PL!Z52:AA52)</f>
        <v>12999</v>
      </c>
      <c r="G52" s="78">
        <f>SUM(PL!AB52:AC52)</f>
        <v>12209</v>
      </c>
      <c r="H52" s="78">
        <f>SUM(PL!AD52:AE52)</f>
        <v>18001</v>
      </c>
      <c r="I52" s="78">
        <f>SUM(PL!AF52:AG52)</f>
        <v>17055</v>
      </c>
      <c r="J52" s="78">
        <f>SUM(PL!AH52:AI52)</f>
        <v>20057</v>
      </c>
      <c r="K52" s="78">
        <f>SUM(PL!AJ52:AK52)</f>
        <v>21915</v>
      </c>
      <c r="L52" s="78">
        <f>SUM(AL52:AM52)</f>
        <v>27782</v>
      </c>
      <c r="M52" s="78">
        <f>SUM(AN52:AO52)</f>
        <v>28203</v>
      </c>
      <c r="N52" s="78">
        <f>N17</f>
        <v>29971</v>
      </c>
      <c r="O52" s="78">
        <f>O17</f>
        <v>41378</v>
      </c>
      <c r="P52" s="78">
        <f>P17</f>
        <v>41399</v>
      </c>
      <c r="Q52" s="40"/>
      <c r="R52" s="78">
        <v>4659</v>
      </c>
      <c r="S52" s="78">
        <v>6194</v>
      </c>
      <c r="T52" s="78">
        <v>6194</v>
      </c>
      <c r="U52" s="78">
        <v>3206</v>
      </c>
      <c r="V52" s="78">
        <v>4360</v>
      </c>
      <c r="W52" s="78">
        <v>8008</v>
      </c>
      <c r="X52" s="78">
        <v>5040</v>
      </c>
      <c r="Y52" s="78">
        <v>10756</v>
      </c>
      <c r="Z52" s="78">
        <v>5571</v>
      </c>
      <c r="AA52" s="78">
        <v>7428</v>
      </c>
      <c r="AB52" s="78">
        <v>6797</v>
      </c>
      <c r="AC52" s="86">
        <v>5412</v>
      </c>
      <c r="AD52" s="78">
        <v>3780</v>
      </c>
      <c r="AE52" s="78">
        <v>14221</v>
      </c>
      <c r="AF52" s="78">
        <v>12016</v>
      </c>
      <c r="AG52" s="78">
        <v>5039</v>
      </c>
      <c r="AH52" s="78">
        <v>7435</v>
      </c>
      <c r="AI52" s="78">
        <v>12622</v>
      </c>
      <c r="AJ52" s="78">
        <v>4057</v>
      </c>
      <c r="AK52" s="78">
        <v>17858</v>
      </c>
      <c r="AL52" s="78">
        <f>AL17</f>
        <v>13798</v>
      </c>
      <c r="AM52" s="78">
        <f>AM17</f>
        <v>13984</v>
      </c>
      <c r="AN52" s="78">
        <f>AN17</f>
        <v>9758</v>
      </c>
      <c r="AO52" s="78">
        <v>18445</v>
      </c>
      <c r="AP52" s="78">
        <f>AP17</f>
        <v>11246</v>
      </c>
      <c r="AQ52" s="78">
        <f t="shared" ref="AQ52:AQ60" si="20">N52-AP52</f>
        <v>18725</v>
      </c>
      <c r="AR52" s="78">
        <f>AR17</f>
        <v>19568</v>
      </c>
      <c r="AS52" s="78">
        <f>O52-AR52</f>
        <v>21810</v>
      </c>
      <c r="AT52" s="78">
        <f>20887</f>
        <v>20887</v>
      </c>
      <c r="AU52" s="78">
        <f t="shared" ref="AU52:AU60" si="21">P52-AT52</f>
        <v>20512</v>
      </c>
    </row>
    <row r="53" spans="1:47" x14ac:dyDescent="0.2">
      <c r="A53" s="6" t="s">
        <v>321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34">
        <f>P19</f>
        <v>1449</v>
      </c>
      <c r="Q53" s="40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86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34">
        <f t="shared" si="21"/>
        <v>1449</v>
      </c>
    </row>
    <row r="54" spans="1:47" x14ac:dyDescent="0.2">
      <c r="A54" s="6" t="s">
        <v>150</v>
      </c>
      <c r="B54" s="34">
        <f>SUM(PL!R54:S54)</f>
        <v>-2328</v>
      </c>
      <c r="C54" s="34">
        <f>SUM(PL!T54:U54)</f>
        <v>-2324</v>
      </c>
      <c r="D54" s="34">
        <f>SUM(PL!V54:W54)</f>
        <v>-3157</v>
      </c>
      <c r="E54" s="34">
        <f>SUM(PL!X54:Y54)</f>
        <v>-4178</v>
      </c>
      <c r="F54" s="34">
        <f>SUM(PL!Z54:AA54)</f>
        <v>-4348</v>
      </c>
      <c r="G54" s="34">
        <f>SUM(PL!AB54:AC54)</f>
        <v>-4454</v>
      </c>
      <c r="H54" s="34">
        <f>SUM(PL!AD54:AE54)</f>
        <v>-5052</v>
      </c>
      <c r="I54" s="34">
        <f>SUM(PL!AF54:AG54)</f>
        <v>-6922</v>
      </c>
      <c r="J54" s="34">
        <f>SUM(PL!AH54:AI54)</f>
        <v>-7280</v>
      </c>
      <c r="K54" s="34">
        <f>SUM(PL!AJ54:AK54)</f>
        <v>-5235</v>
      </c>
      <c r="L54" s="34">
        <f t="shared" ref="L54:L60" si="22">SUM(AL54:AM54)</f>
        <v>-5784</v>
      </c>
      <c r="M54" s="34">
        <f t="shared" ref="M54:M60" si="23">SUM(AN54:AO54)</f>
        <v>-7259</v>
      </c>
      <c r="N54" s="34">
        <f>N20</f>
        <v>-7475</v>
      </c>
      <c r="O54" s="34">
        <f>O20</f>
        <v>-8455</v>
      </c>
      <c r="P54" s="34">
        <f>P20</f>
        <v>-7883</v>
      </c>
      <c r="R54" s="34">
        <v>-1020</v>
      </c>
      <c r="S54" s="34">
        <v>-1308</v>
      </c>
      <c r="T54" s="34">
        <v>-1308</v>
      </c>
      <c r="U54" s="34">
        <v>-1016</v>
      </c>
      <c r="V54" s="34">
        <v>-1195</v>
      </c>
      <c r="W54" s="34">
        <v>-1962</v>
      </c>
      <c r="X54" s="34">
        <v>-1129</v>
      </c>
      <c r="Y54" s="34">
        <v>-3049</v>
      </c>
      <c r="Z54" s="34">
        <v>-1387</v>
      </c>
      <c r="AA54" s="34">
        <v>-2961</v>
      </c>
      <c r="AB54" s="34">
        <v>-1770</v>
      </c>
      <c r="AC54" s="87">
        <v>-2684</v>
      </c>
      <c r="AD54" s="34">
        <v>-1957</v>
      </c>
      <c r="AE54" s="34">
        <v>-3095</v>
      </c>
      <c r="AF54" s="34">
        <v>-2221</v>
      </c>
      <c r="AG54" s="34">
        <v>-4701</v>
      </c>
      <c r="AH54" s="34">
        <v>-2327</v>
      </c>
      <c r="AI54" s="34">
        <v>-4953</v>
      </c>
      <c r="AJ54" s="34">
        <v>-1958</v>
      </c>
      <c r="AK54" s="34">
        <v>-3277</v>
      </c>
      <c r="AL54" s="34">
        <f t="shared" ref="AL54:AN55" si="24">AL20</f>
        <v>-2453</v>
      </c>
      <c r="AM54" s="34">
        <f t="shared" si="24"/>
        <v>-3331</v>
      </c>
      <c r="AN54" s="34">
        <f t="shared" si="24"/>
        <v>-2558</v>
      </c>
      <c r="AO54" s="34">
        <v>-4701</v>
      </c>
      <c r="AP54" s="34">
        <f>AP20</f>
        <v>-3243</v>
      </c>
      <c r="AQ54" s="34">
        <f t="shared" si="20"/>
        <v>-4232</v>
      </c>
      <c r="AR54" s="34">
        <f>AR20</f>
        <v>-3702</v>
      </c>
      <c r="AS54" s="34">
        <f t="shared" ref="AS54:AS60" si="25">O54-AR54</f>
        <v>-4753</v>
      </c>
      <c r="AT54" s="34">
        <f>-3498</f>
        <v>-3498</v>
      </c>
      <c r="AU54" s="34">
        <f t="shared" si="21"/>
        <v>-4385</v>
      </c>
    </row>
    <row r="55" spans="1:47" x14ac:dyDescent="0.2">
      <c r="A55" s="6" t="s">
        <v>151</v>
      </c>
      <c r="B55" s="34">
        <f>SUM(PL!R55:S55)</f>
        <v>-854</v>
      </c>
      <c r="C55" s="34">
        <f>SUM(PL!T55:U55)</f>
        <v>-958</v>
      </c>
      <c r="D55" s="34">
        <f>SUM(PL!V55:W55)</f>
        <v>-1023</v>
      </c>
      <c r="E55" s="34">
        <f>SUM(PL!X55:Y55)</f>
        <v>-1474</v>
      </c>
      <c r="F55" s="34">
        <f>SUM(PL!Z55:AA55)</f>
        <v>-1411</v>
      </c>
      <c r="G55" s="34">
        <f>SUM(PL!AB55:AC55)</f>
        <v>-1984</v>
      </c>
      <c r="H55" s="34">
        <f>SUM(PL!AD55:AE55)</f>
        <v>-2930</v>
      </c>
      <c r="I55" s="34">
        <f>SUM(PL!AF55:AG55)</f>
        <v>-3318</v>
      </c>
      <c r="J55" s="34">
        <f>SUM(PL!AH55:AI55)</f>
        <v>-4822</v>
      </c>
      <c r="K55" s="34">
        <f>SUM(PL!AJ55:AK55)</f>
        <v>-4560</v>
      </c>
      <c r="L55" s="34">
        <f t="shared" si="22"/>
        <v>-4639</v>
      </c>
      <c r="M55" s="34">
        <f t="shared" si="23"/>
        <v>-5001</v>
      </c>
      <c r="N55" s="34">
        <f>N21</f>
        <v>-5158</v>
      </c>
      <c r="O55" s="34">
        <f>O21</f>
        <v>-6188</v>
      </c>
      <c r="P55" s="34">
        <f>P21</f>
        <v>-7592</v>
      </c>
      <c r="R55" s="34">
        <v>-336</v>
      </c>
      <c r="S55" s="34">
        <v>-518</v>
      </c>
      <c r="T55" s="34">
        <v>-518</v>
      </c>
      <c r="U55" s="34">
        <v>-440</v>
      </c>
      <c r="V55" s="34">
        <v>-389</v>
      </c>
      <c r="W55" s="34">
        <v>-634</v>
      </c>
      <c r="X55" s="34">
        <v>-569</v>
      </c>
      <c r="Y55" s="34">
        <v>-905</v>
      </c>
      <c r="Z55" s="34">
        <v>-460</v>
      </c>
      <c r="AA55" s="34">
        <v>-951</v>
      </c>
      <c r="AB55" s="34">
        <v>-563</v>
      </c>
      <c r="AC55" s="87">
        <v>-1421</v>
      </c>
      <c r="AD55" s="34">
        <v>-577</v>
      </c>
      <c r="AE55" s="34">
        <v>-2353</v>
      </c>
      <c r="AF55" s="34">
        <v>-897</v>
      </c>
      <c r="AG55" s="34">
        <v>-2421</v>
      </c>
      <c r="AH55" s="34">
        <v>-792</v>
      </c>
      <c r="AI55" s="34">
        <v>-4030</v>
      </c>
      <c r="AJ55" s="34">
        <v>-918</v>
      </c>
      <c r="AK55" s="34">
        <v>-3642</v>
      </c>
      <c r="AL55" s="34">
        <f t="shared" si="24"/>
        <v>-1964</v>
      </c>
      <c r="AM55" s="34">
        <f t="shared" si="24"/>
        <v>-2675</v>
      </c>
      <c r="AN55" s="34">
        <f t="shared" si="24"/>
        <v>-1980</v>
      </c>
      <c r="AO55" s="34">
        <v>-3021</v>
      </c>
      <c r="AP55" s="34">
        <f>AP21</f>
        <v>-2364</v>
      </c>
      <c r="AQ55" s="34">
        <f t="shared" si="20"/>
        <v>-2794</v>
      </c>
      <c r="AR55" s="34">
        <f>AR21</f>
        <v>-2965</v>
      </c>
      <c r="AS55" s="34">
        <f t="shared" si="25"/>
        <v>-3223</v>
      </c>
      <c r="AT55" s="34">
        <f>-3784</f>
        <v>-3784</v>
      </c>
      <c r="AU55" s="34">
        <f t="shared" si="21"/>
        <v>-3808</v>
      </c>
    </row>
    <row r="56" spans="1:47" x14ac:dyDescent="0.2">
      <c r="A56" s="6" t="s">
        <v>152</v>
      </c>
      <c r="B56" s="34">
        <f>SUM(PL!R56:S56)</f>
        <v>7671</v>
      </c>
      <c r="C56" s="34">
        <f>SUM(PL!T56:U56)</f>
        <v>6118</v>
      </c>
      <c r="D56" s="34">
        <f>SUM(PL!V56:W56)</f>
        <v>8188</v>
      </c>
      <c r="E56" s="34">
        <f>SUM(PL!X56:Y56)</f>
        <v>10144</v>
      </c>
      <c r="F56" s="34">
        <f>SUM(PL!Z56:AA56)</f>
        <v>7240</v>
      </c>
      <c r="G56" s="34">
        <f>SUM(PL!AB56:AC56)</f>
        <v>5771</v>
      </c>
      <c r="H56" s="34">
        <f>SUM(PL!AD56:AE56)</f>
        <v>10019</v>
      </c>
      <c r="I56" s="34">
        <f>SUM(PL!AF56:AG56)</f>
        <v>6815</v>
      </c>
      <c r="J56" s="34">
        <f>SUM(PL!AH56:AI56)</f>
        <v>7955</v>
      </c>
      <c r="K56" s="34">
        <f>SUM(PL!AJ56:AK56)</f>
        <v>12120</v>
      </c>
      <c r="L56" s="34">
        <f t="shared" si="22"/>
        <v>17359</v>
      </c>
      <c r="M56" s="34">
        <f t="shared" si="23"/>
        <v>15943</v>
      </c>
      <c r="N56" s="34">
        <f>N52+N54+N55</f>
        <v>17338</v>
      </c>
      <c r="O56" s="34">
        <f>O52+O54+O55</f>
        <v>26735</v>
      </c>
      <c r="P56" s="34">
        <f>P52+P53+P54+P55</f>
        <v>27373</v>
      </c>
      <c r="R56" s="34">
        <v>3303</v>
      </c>
      <c r="S56" s="34">
        <v>4368</v>
      </c>
      <c r="T56" s="34">
        <v>4368</v>
      </c>
      <c r="U56" s="34">
        <v>1750</v>
      </c>
      <c r="V56" s="34">
        <v>2776</v>
      </c>
      <c r="W56" s="34">
        <v>5412</v>
      </c>
      <c r="X56" s="34">
        <v>3342</v>
      </c>
      <c r="Y56" s="34">
        <v>6802</v>
      </c>
      <c r="Z56" s="34">
        <v>3724</v>
      </c>
      <c r="AA56" s="34">
        <v>3516</v>
      </c>
      <c r="AB56" s="34">
        <v>4464</v>
      </c>
      <c r="AC56" s="87">
        <v>1307</v>
      </c>
      <c r="AD56" s="34">
        <v>1246</v>
      </c>
      <c r="AE56" s="34">
        <v>8773</v>
      </c>
      <c r="AF56" s="34">
        <v>8898</v>
      </c>
      <c r="AG56" s="34">
        <v>-2083</v>
      </c>
      <c r="AH56" s="34">
        <v>4316</v>
      </c>
      <c r="AI56" s="34">
        <v>3639</v>
      </c>
      <c r="AJ56" s="34">
        <v>1181</v>
      </c>
      <c r="AK56" s="34">
        <v>10939</v>
      </c>
      <c r="AL56" s="34">
        <f>AL52+AL54+AL55</f>
        <v>9381</v>
      </c>
      <c r="AM56" s="34">
        <f>AM52+AM54+AM55</f>
        <v>7978</v>
      </c>
      <c r="AN56" s="34">
        <f>SUM(AN52:AN55)</f>
        <v>5220</v>
      </c>
      <c r="AO56" s="34">
        <v>10723</v>
      </c>
      <c r="AP56" s="34">
        <f>SUM(AP52:AP55)</f>
        <v>5639</v>
      </c>
      <c r="AQ56" s="34">
        <f t="shared" si="20"/>
        <v>11699</v>
      </c>
      <c r="AR56" s="34">
        <f>SUM(AR52:AR55)</f>
        <v>12901</v>
      </c>
      <c r="AS56" s="34">
        <f t="shared" si="25"/>
        <v>13834</v>
      </c>
      <c r="AT56" s="34">
        <f>SUM(AT52:AT55)</f>
        <v>13605</v>
      </c>
      <c r="AU56" s="34">
        <f t="shared" si="21"/>
        <v>13768</v>
      </c>
    </row>
    <row r="57" spans="1:47" x14ac:dyDescent="0.2">
      <c r="A57" s="6" t="s">
        <v>153</v>
      </c>
      <c r="B57" s="34">
        <f>SUM(PL!R57:S57)</f>
        <v>265</v>
      </c>
      <c r="C57" s="34">
        <f>SUM(PL!T57:U57)</f>
        <v>417</v>
      </c>
      <c r="D57" s="34">
        <f>SUM(PL!V57:W57)</f>
        <v>343</v>
      </c>
      <c r="E57" s="34">
        <f>SUM(PL!X57:Y57)</f>
        <v>417</v>
      </c>
      <c r="F57" s="34">
        <f>SUM(PL!Z57:AA57)</f>
        <v>406</v>
      </c>
      <c r="G57" s="34">
        <f>SUM(PL!AB57:AC57)</f>
        <v>434</v>
      </c>
      <c r="H57" s="34">
        <f>SUM(PL!AD57:AE57)</f>
        <v>340</v>
      </c>
      <c r="I57" s="34">
        <f>SUM(PL!AF57:AG57)</f>
        <v>365</v>
      </c>
      <c r="J57" s="34">
        <f>SUM(PL!AH57:AI57)</f>
        <v>542</v>
      </c>
      <c r="K57" s="34">
        <f>SUM(PL!AJ57:AK57)</f>
        <v>481</v>
      </c>
      <c r="L57" s="34">
        <f t="shared" si="22"/>
        <v>521</v>
      </c>
      <c r="M57" s="34">
        <f t="shared" si="23"/>
        <v>541</v>
      </c>
      <c r="N57" s="34">
        <v>797</v>
      </c>
      <c r="O57" s="34">
        <f>911</f>
        <v>911</v>
      </c>
      <c r="P57" s="34">
        <f>988</f>
        <v>988</v>
      </c>
      <c r="R57" s="34">
        <v>128</v>
      </c>
      <c r="S57" s="34">
        <v>137</v>
      </c>
      <c r="T57" s="34">
        <v>209</v>
      </c>
      <c r="U57" s="34">
        <v>208</v>
      </c>
      <c r="V57" s="34">
        <v>168</v>
      </c>
      <c r="W57" s="34">
        <v>175</v>
      </c>
      <c r="X57" s="34">
        <v>204</v>
      </c>
      <c r="Y57" s="34">
        <v>213</v>
      </c>
      <c r="Z57" s="34">
        <v>213</v>
      </c>
      <c r="AA57" s="34">
        <v>193</v>
      </c>
      <c r="AB57" s="34">
        <v>240</v>
      </c>
      <c r="AC57" s="87">
        <v>194</v>
      </c>
      <c r="AD57" s="34">
        <v>172</v>
      </c>
      <c r="AE57" s="34">
        <v>168</v>
      </c>
      <c r="AF57" s="34">
        <v>169</v>
      </c>
      <c r="AG57" s="34">
        <v>196</v>
      </c>
      <c r="AH57" s="34">
        <v>270</v>
      </c>
      <c r="AI57" s="34">
        <v>272</v>
      </c>
      <c r="AJ57" s="34">
        <v>385</v>
      </c>
      <c r="AK57" s="34">
        <v>96</v>
      </c>
      <c r="AL57" s="34">
        <f>CF!AL10</f>
        <v>233</v>
      </c>
      <c r="AM57" s="34">
        <v>288</v>
      </c>
      <c r="AN57" s="34">
        <v>273</v>
      </c>
      <c r="AO57" s="34">
        <v>268</v>
      </c>
      <c r="AP57" s="34">
        <f>403</f>
        <v>403</v>
      </c>
      <c r="AQ57" s="34">
        <f t="shared" si="20"/>
        <v>394</v>
      </c>
      <c r="AR57" s="34">
        <f>450</f>
        <v>450</v>
      </c>
      <c r="AS57" s="34">
        <f t="shared" si="25"/>
        <v>461</v>
      </c>
      <c r="AT57" s="34">
        <f>459</f>
        <v>459</v>
      </c>
      <c r="AU57" s="34">
        <f t="shared" si="21"/>
        <v>529</v>
      </c>
    </row>
    <row r="58" spans="1:47" x14ac:dyDescent="0.2">
      <c r="A58" s="33" t="s">
        <v>9</v>
      </c>
      <c r="B58" s="62">
        <f>SUM(PL!R58:S58)</f>
        <v>7936</v>
      </c>
      <c r="C58" s="62">
        <f>SUM(PL!T58:U58)</f>
        <v>6535</v>
      </c>
      <c r="D58" s="62">
        <f>SUM(PL!V58:W58)</f>
        <v>8531</v>
      </c>
      <c r="E58" s="62">
        <f>SUM(PL!X58:Y58)</f>
        <v>10561</v>
      </c>
      <c r="F58" s="62">
        <f>SUM(PL!Z58:AA58)</f>
        <v>7646</v>
      </c>
      <c r="G58" s="62">
        <f>SUM(PL!AB58:AC58)</f>
        <v>6205</v>
      </c>
      <c r="H58" s="62">
        <f>SUM(PL!AD58:AE58)</f>
        <v>10359</v>
      </c>
      <c r="I58" s="62">
        <f>SUM(PL!AF58:AG58)</f>
        <v>7180</v>
      </c>
      <c r="J58" s="62">
        <f>SUM(PL!AH58:AI58)</f>
        <v>8497</v>
      </c>
      <c r="K58" s="62">
        <f>SUM(PL!AJ58:AK58)</f>
        <v>12601</v>
      </c>
      <c r="L58" s="62">
        <f t="shared" si="22"/>
        <v>17880</v>
      </c>
      <c r="M58" s="62">
        <f t="shared" si="23"/>
        <v>16484</v>
      </c>
      <c r="N58" s="62">
        <f>N56+N57</f>
        <v>18135</v>
      </c>
      <c r="O58" s="62">
        <f>O56+O57</f>
        <v>27646</v>
      </c>
      <c r="P58" s="62">
        <f>P56+P57</f>
        <v>28361</v>
      </c>
      <c r="R58" s="62">
        <v>3431</v>
      </c>
      <c r="S58" s="62">
        <v>4505</v>
      </c>
      <c r="T58" s="62">
        <v>4577</v>
      </c>
      <c r="U58" s="62">
        <v>1958</v>
      </c>
      <c r="V58" s="62">
        <v>2944</v>
      </c>
      <c r="W58" s="62">
        <v>5587</v>
      </c>
      <c r="X58" s="62">
        <v>3546</v>
      </c>
      <c r="Y58" s="62">
        <v>7015</v>
      </c>
      <c r="Z58" s="62">
        <v>3937</v>
      </c>
      <c r="AA58" s="62">
        <v>3709</v>
      </c>
      <c r="AB58" s="62">
        <v>4704</v>
      </c>
      <c r="AC58" s="88">
        <v>1501</v>
      </c>
      <c r="AD58" s="62">
        <v>1418</v>
      </c>
      <c r="AE58" s="62">
        <v>8941</v>
      </c>
      <c r="AF58" s="62">
        <v>9067</v>
      </c>
      <c r="AG58" s="62">
        <v>-1887</v>
      </c>
      <c r="AH58" s="62">
        <v>4586</v>
      </c>
      <c r="AI58" s="62">
        <v>3911</v>
      </c>
      <c r="AJ58" s="62">
        <v>1566</v>
      </c>
      <c r="AK58" s="62">
        <v>11035</v>
      </c>
      <c r="AL58" s="80">
        <f>AL56+AL57</f>
        <v>9614</v>
      </c>
      <c r="AM58" s="80">
        <f>AM56+AM57</f>
        <v>8266</v>
      </c>
      <c r="AN58" s="80">
        <f>SUM(AN56:AN57)</f>
        <v>5493</v>
      </c>
      <c r="AO58" s="80">
        <v>10991</v>
      </c>
      <c r="AP58" s="80">
        <f>SUM(AP56:AP57)</f>
        <v>6042</v>
      </c>
      <c r="AQ58" s="80">
        <f t="shared" si="20"/>
        <v>12093</v>
      </c>
      <c r="AR58" s="80">
        <f>SUM(AR56:AR57)</f>
        <v>13351</v>
      </c>
      <c r="AS58" s="80">
        <f t="shared" si="25"/>
        <v>14295</v>
      </c>
      <c r="AT58" s="80">
        <f>SUM(AT56:AT57)</f>
        <v>14064</v>
      </c>
      <c r="AU58" s="80">
        <f t="shared" si="21"/>
        <v>14297</v>
      </c>
    </row>
    <row r="59" spans="1:47" x14ac:dyDescent="0.2">
      <c r="A59" s="6" t="s">
        <v>154</v>
      </c>
      <c r="B59" s="34">
        <f>SUM(PL!R59:S59)</f>
        <v>0</v>
      </c>
      <c r="C59" s="34">
        <f>SUM(PL!T59:U59)</f>
        <v>0</v>
      </c>
      <c r="D59" s="34">
        <f>SUM(PL!V59:W59)</f>
        <v>0</v>
      </c>
      <c r="E59" s="34">
        <f>SUM(PL!X59:Y59)</f>
        <v>0</v>
      </c>
      <c r="F59" s="34">
        <f>SUM(PL!Z59:AA59)</f>
        <v>0</v>
      </c>
      <c r="G59" s="34">
        <f>SUM(PL!AB59:AC59)</f>
        <v>0</v>
      </c>
      <c r="H59" s="34">
        <f>SUM(PL!AD59:AE59)</f>
        <v>0</v>
      </c>
      <c r="I59" s="34">
        <f>SUM(PL!AF59:AG59)</f>
        <v>0</v>
      </c>
      <c r="J59" s="34">
        <f>SUM(PL!AH59:AI59)</f>
        <v>2678</v>
      </c>
      <c r="K59" s="34">
        <f>SUM(PL!AJ59:AK59)</f>
        <v>3881</v>
      </c>
      <c r="L59" s="34">
        <f t="shared" si="22"/>
        <v>3259</v>
      </c>
      <c r="M59" s="34">
        <f t="shared" si="23"/>
        <v>2311</v>
      </c>
      <c r="N59" s="34">
        <v>1290</v>
      </c>
      <c r="O59" s="34">
        <f>1047</f>
        <v>1047</v>
      </c>
      <c r="P59" s="34">
        <f>1416</f>
        <v>1416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1014</v>
      </c>
      <c r="AI59" s="34">
        <v>1664</v>
      </c>
      <c r="AJ59" s="34">
        <v>1412</v>
      </c>
      <c r="AK59" s="34">
        <v>2469</v>
      </c>
      <c r="AL59" s="89">
        <v>1522</v>
      </c>
      <c r="AM59" s="89">
        <v>1737</v>
      </c>
      <c r="AN59" s="89">
        <v>751</v>
      </c>
      <c r="AO59" s="89">
        <v>1560</v>
      </c>
      <c r="AP59" s="89">
        <v>646</v>
      </c>
      <c r="AQ59" s="89">
        <f t="shared" si="20"/>
        <v>644</v>
      </c>
      <c r="AR59" s="89">
        <f>631</f>
        <v>631</v>
      </c>
      <c r="AS59" s="89">
        <f t="shared" si="25"/>
        <v>416</v>
      </c>
      <c r="AT59" s="89">
        <f>316</f>
        <v>316</v>
      </c>
      <c r="AU59" s="89">
        <f t="shared" si="21"/>
        <v>1100</v>
      </c>
    </row>
    <row r="60" spans="1:47" x14ac:dyDescent="0.2">
      <c r="A60" s="33" t="s">
        <v>149</v>
      </c>
      <c r="B60" s="62">
        <f>SUM(PL!R60:S60)</f>
        <v>7936</v>
      </c>
      <c r="C60" s="62">
        <f>SUM(PL!T60:U60)</f>
        <v>6535</v>
      </c>
      <c r="D60" s="62">
        <f>SUM(PL!V60:W60)</f>
        <v>8531</v>
      </c>
      <c r="E60" s="62">
        <f>SUM(PL!X60:Y60)</f>
        <v>10561</v>
      </c>
      <c r="F60" s="62">
        <f>SUM(PL!Z60:AA60)</f>
        <v>7646</v>
      </c>
      <c r="G60" s="62">
        <f>SUM(PL!AB60:AC60)</f>
        <v>6205</v>
      </c>
      <c r="H60" s="62">
        <f>SUM(PL!AD60:AE60)</f>
        <v>10359</v>
      </c>
      <c r="I60" s="62">
        <f>SUM(PL!AF60:AG60)</f>
        <v>7180</v>
      </c>
      <c r="J60" s="62">
        <f>SUM(PL!AH60:AI60)</f>
        <v>11175</v>
      </c>
      <c r="K60" s="62">
        <f>SUM(PL!AJ60:AK60)</f>
        <v>16482</v>
      </c>
      <c r="L60" s="62">
        <f t="shared" si="22"/>
        <v>21139</v>
      </c>
      <c r="M60" s="62">
        <f t="shared" si="23"/>
        <v>18795</v>
      </c>
      <c r="N60" s="62">
        <f>N58+N59</f>
        <v>19425</v>
      </c>
      <c r="O60" s="62">
        <f>O58+O59</f>
        <v>28693</v>
      </c>
      <c r="P60" s="62">
        <f>P58+P59</f>
        <v>29777</v>
      </c>
      <c r="R60" s="62">
        <v>3431</v>
      </c>
      <c r="S60" s="62">
        <v>4505</v>
      </c>
      <c r="T60" s="62">
        <v>4577</v>
      </c>
      <c r="U60" s="62">
        <v>1958</v>
      </c>
      <c r="V60" s="62">
        <v>2944</v>
      </c>
      <c r="W60" s="62">
        <v>5587</v>
      </c>
      <c r="X60" s="62">
        <v>3546</v>
      </c>
      <c r="Y60" s="62">
        <v>7015</v>
      </c>
      <c r="Z60" s="62">
        <v>3937</v>
      </c>
      <c r="AA60" s="62">
        <v>3709</v>
      </c>
      <c r="AB60" s="62">
        <v>4704</v>
      </c>
      <c r="AC60" s="88">
        <v>1501</v>
      </c>
      <c r="AD60" s="62">
        <v>1418</v>
      </c>
      <c r="AE60" s="62">
        <v>8941</v>
      </c>
      <c r="AF60" s="62">
        <v>9067</v>
      </c>
      <c r="AG60" s="62">
        <v>-1887</v>
      </c>
      <c r="AH60" s="62">
        <v>5600</v>
      </c>
      <c r="AI60" s="62">
        <v>5575</v>
      </c>
      <c r="AJ60" s="62">
        <v>2978</v>
      </c>
      <c r="AK60" s="62">
        <v>13504</v>
      </c>
      <c r="AL60" s="80">
        <v>11136</v>
      </c>
      <c r="AM60" s="80">
        <v>10003</v>
      </c>
      <c r="AN60" s="80">
        <f>SUM(AN58:AN59)</f>
        <v>6244</v>
      </c>
      <c r="AO60" s="80">
        <v>12551</v>
      </c>
      <c r="AP60" s="80">
        <f>SUM(AP58:AP59)</f>
        <v>6688</v>
      </c>
      <c r="AQ60" s="80">
        <f t="shared" si="20"/>
        <v>12737</v>
      </c>
      <c r="AR60" s="80">
        <f>SUM(AR58:AR59)</f>
        <v>13982</v>
      </c>
      <c r="AS60" s="80">
        <f t="shared" si="25"/>
        <v>14711</v>
      </c>
      <c r="AT60" s="80">
        <f>SUM(AT58:AT59)</f>
        <v>14380</v>
      </c>
      <c r="AU60" s="80">
        <f t="shared" si="21"/>
        <v>15397</v>
      </c>
    </row>
    <row r="61" spans="1:47" x14ac:dyDescent="0.2">
      <c r="F61" s="78"/>
      <c r="K61" s="78"/>
    </row>
    <row r="63" spans="1:47" x14ac:dyDescent="0.2">
      <c r="H63" s="34"/>
    </row>
  </sheetData>
  <phoneticPr fontId="33" type="noConversion"/>
  <hyperlinks>
    <hyperlink ref="A3" location="Contents!A1" display="Back to Contents" xr:uid="{7F1490DE-722E-459F-8596-3C70C88FDE29}"/>
    <hyperlink ref="A49" location="Contents!A1" display="Back to Contents" xr:uid="{44A1BB31-CDE3-4957-A349-81F144693DF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753F-973C-41E8-BA4C-D893BF02EE4B}">
  <dimension ref="A2:AE73"/>
  <sheetViews>
    <sheetView showGridLines="0" topLeftCell="A43" zoomScaleNormal="100" workbookViewId="0">
      <pane xSplit="1" topLeftCell="R1" activePane="topRight" state="frozen"/>
      <selection pane="topRight" activeCell="AE8" sqref="AE8:AE68"/>
    </sheetView>
  </sheetViews>
  <sheetFormatPr defaultColWidth="9.140625" defaultRowHeight="14.25" x14ac:dyDescent="0.2"/>
  <cols>
    <col min="1" max="1" width="71.140625" style="41" bestFit="1" customWidth="1"/>
    <col min="2" max="23" width="10.140625" style="6" bestFit="1" customWidth="1"/>
    <col min="24" max="24" width="10.7109375" style="6" bestFit="1" customWidth="1"/>
    <col min="25" max="25" width="10.140625" style="6" bestFit="1" customWidth="1"/>
    <col min="26" max="27" width="10.7109375" style="6" bestFit="1" customWidth="1"/>
    <col min="28" max="28" width="10.7109375" style="41" bestFit="1" customWidth="1"/>
    <col min="29" max="30" width="10.7109375" style="6" bestFit="1" customWidth="1"/>
    <col min="31" max="31" width="10.140625" style="41" bestFit="1" customWidth="1"/>
    <col min="32" max="16384" width="9.140625" style="41"/>
  </cols>
  <sheetData>
    <row r="2" spans="1:31" ht="18" x14ac:dyDescent="0.25">
      <c r="A2" s="54" t="s">
        <v>155</v>
      </c>
    </row>
    <row r="3" spans="1:31" x14ac:dyDescent="0.2">
      <c r="A3" s="35" t="s">
        <v>1</v>
      </c>
    </row>
    <row r="5" spans="1:31" x14ac:dyDescent="0.2">
      <c r="A5" s="36" t="s">
        <v>5</v>
      </c>
      <c r="B5" s="93">
        <v>40724</v>
      </c>
      <c r="C5" s="93">
        <v>40908</v>
      </c>
      <c r="D5" s="93">
        <v>41090</v>
      </c>
      <c r="E5" s="93">
        <v>41274</v>
      </c>
      <c r="F5" s="93">
        <v>41455</v>
      </c>
      <c r="G5" s="93">
        <v>41639</v>
      </c>
      <c r="H5" s="93">
        <v>41820</v>
      </c>
      <c r="I5" s="93">
        <v>42004</v>
      </c>
      <c r="J5" s="93">
        <v>42185</v>
      </c>
      <c r="K5" s="93">
        <v>42369</v>
      </c>
      <c r="L5" s="93">
        <v>42551</v>
      </c>
      <c r="M5" s="93">
        <v>42735</v>
      </c>
      <c r="N5" s="93">
        <v>42916</v>
      </c>
      <c r="O5" s="93">
        <v>43100</v>
      </c>
      <c r="P5" s="93">
        <v>43281</v>
      </c>
      <c r="Q5" s="93">
        <v>43465</v>
      </c>
      <c r="R5" s="93">
        <v>43646</v>
      </c>
      <c r="S5" s="93">
        <v>43830</v>
      </c>
      <c r="T5" s="93">
        <v>44012</v>
      </c>
      <c r="U5" s="93">
        <v>44196</v>
      </c>
      <c r="V5" s="94">
        <v>44377</v>
      </c>
      <c r="W5" s="93">
        <v>44561</v>
      </c>
      <c r="X5" s="93" t="s">
        <v>279</v>
      </c>
      <c r="Y5" s="93">
        <v>44926</v>
      </c>
      <c r="Z5" s="93" t="s">
        <v>288</v>
      </c>
      <c r="AA5" s="93" t="s">
        <v>296</v>
      </c>
      <c r="AB5" s="93" t="s">
        <v>303</v>
      </c>
      <c r="AC5" s="93">
        <v>45657</v>
      </c>
      <c r="AD5" s="93" t="s">
        <v>316</v>
      </c>
      <c r="AE5" s="93">
        <v>46022</v>
      </c>
    </row>
    <row r="6" spans="1:31" x14ac:dyDescent="0.2">
      <c r="A6" s="32" t="s">
        <v>156</v>
      </c>
    </row>
    <row r="7" spans="1:31" x14ac:dyDescent="0.2">
      <c r="A7" s="44" t="s">
        <v>157</v>
      </c>
    </row>
    <row r="8" spans="1:31" x14ac:dyDescent="0.2">
      <c r="A8" s="6" t="s">
        <v>158</v>
      </c>
      <c r="B8" s="34">
        <v>1696</v>
      </c>
      <c r="C8" s="34">
        <v>2009</v>
      </c>
      <c r="D8" s="34">
        <v>2152</v>
      </c>
      <c r="E8" s="34">
        <v>2380</v>
      </c>
      <c r="F8" s="34">
        <v>1853</v>
      </c>
      <c r="G8" s="34">
        <v>1962</v>
      </c>
      <c r="H8" s="34">
        <v>2326</v>
      </c>
      <c r="I8" s="34">
        <v>2503</v>
      </c>
      <c r="J8" s="34">
        <v>2349</v>
      </c>
      <c r="K8" s="34">
        <v>2479</v>
      </c>
      <c r="L8" s="34">
        <v>2433</v>
      </c>
      <c r="M8" s="34">
        <v>2889</v>
      </c>
      <c r="N8" s="34">
        <v>2927</v>
      </c>
      <c r="O8" s="34">
        <v>3085</v>
      </c>
      <c r="P8" s="34">
        <v>3162</v>
      </c>
      <c r="Q8" s="34">
        <v>3195</v>
      </c>
      <c r="R8" s="34">
        <v>3637</v>
      </c>
      <c r="S8" s="34">
        <v>3561</v>
      </c>
      <c r="T8" s="34">
        <v>3431</v>
      </c>
      <c r="U8" s="34">
        <v>3508</v>
      </c>
      <c r="V8" s="34">
        <v>3334</v>
      </c>
      <c r="W8" s="6">
        <v>4050</v>
      </c>
      <c r="X8" s="34">
        <v>4494</v>
      </c>
      <c r="Y8" s="34">
        <v>4531</v>
      </c>
      <c r="Z8" s="34">
        <v>4983</v>
      </c>
      <c r="AA8" s="34">
        <v>6184</v>
      </c>
      <c r="AB8" s="34">
        <f>6743</f>
        <v>6743</v>
      </c>
      <c r="AC8" s="34">
        <f>7259</f>
        <v>7259</v>
      </c>
      <c r="AD8" s="34">
        <f>7448</f>
        <v>7448</v>
      </c>
      <c r="AE8" s="34">
        <f>8803</f>
        <v>8803</v>
      </c>
    </row>
    <row r="9" spans="1:31" x14ac:dyDescent="0.2">
      <c r="A9" s="6" t="s">
        <v>281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X9" s="34">
        <v>194</v>
      </c>
      <c r="Y9" s="34">
        <v>2652</v>
      </c>
      <c r="Z9" s="34">
        <v>2645</v>
      </c>
      <c r="AA9" s="34">
        <v>2956</v>
      </c>
      <c r="AB9" s="34">
        <f>6599</f>
        <v>6599</v>
      </c>
      <c r="AC9" s="34">
        <f>6714</f>
        <v>6714</v>
      </c>
      <c r="AD9" s="34">
        <f>8589</f>
        <v>8589</v>
      </c>
      <c r="AE9" s="34">
        <f>10927</f>
        <v>10927</v>
      </c>
    </row>
    <row r="10" spans="1:31" x14ac:dyDescent="0.2">
      <c r="A10" s="6" t="s">
        <v>159</v>
      </c>
      <c r="B10" s="34"/>
      <c r="C10" s="34">
        <v>0</v>
      </c>
      <c r="D10" s="34">
        <v>0</v>
      </c>
      <c r="E10" s="34">
        <v>0</v>
      </c>
      <c r="F10" s="34">
        <v>638</v>
      </c>
      <c r="G10" s="34">
        <v>1142</v>
      </c>
      <c r="H10" s="34">
        <v>1052</v>
      </c>
      <c r="I10" s="34">
        <v>808</v>
      </c>
      <c r="J10" s="34">
        <v>618</v>
      </c>
      <c r="K10" s="34">
        <v>538</v>
      </c>
      <c r="L10" s="34">
        <v>482</v>
      </c>
      <c r="M10" s="34">
        <v>561</v>
      </c>
      <c r="N10" s="34">
        <v>354</v>
      </c>
      <c r="O10" s="34">
        <v>333</v>
      </c>
      <c r="P10" s="34">
        <v>316</v>
      </c>
      <c r="Q10" s="34">
        <v>306</v>
      </c>
      <c r="R10" s="34">
        <v>1123</v>
      </c>
      <c r="S10" s="34">
        <v>1065</v>
      </c>
      <c r="T10" s="34">
        <v>853</v>
      </c>
      <c r="U10" s="34">
        <v>691</v>
      </c>
      <c r="V10" s="34">
        <v>568</v>
      </c>
      <c r="W10" s="6">
        <v>416</v>
      </c>
      <c r="X10" s="34">
        <v>405</v>
      </c>
      <c r="Y10" s="34">
        <v>396</v>
      </c>
      <c r="Z10" s="34">
        <v>347</v>
      </c>
      <c r="AA10" s="34">
        <v>344</v>
      </c>
      <c r="AB10" s="34">
        <f>311</f>
        <v>311</v>
      </c>
      <c r="AC10" s="34">
        <f>154</f>
        <v>154</v>
      </c>
      <c r="AD10" s="34">
        <f>160</f>
        <v>160</v>
      </c>
      <c r="AE10" s="34">
        <f>2543</f>
        <v>2543</v>
      </c>
    </row>
    <row r="11" spans="1:31" x14ac:dyDescent="0.2">
      <c r="A11" s="6" t="s">
        <v>160</v>
      </c>
      <c r="B11" s="34">
        <v>102</v>
      </c>
      <c r="C11" s="34">
        <v>88</v>
      </c>
      <c r="D11" s="34">
        <v>48</v>
      </c>
      <c r="E11" s="34">
        <v>60</v>
      </c>
      <c r="F11" s="34">
        <v>241</v>
      </c>
      <c r="G11" s="34">
        <v>275</v>
      </c>
      <c r="H11" s="34">
        <v>684</v>
      </c>
      <c r="I11" s="34">
        <v>1036</v>
      </c>
      <c r="J11" s="34">
        <v>684</v>
      </c>
      <c r="K11" s="34">
        <v>578</v>
      </c>
      <c r="L11" s="34">
        <v>556</v>
      </c>
      <c r="M11" s="34">
        <v>545</v>
      </c>
      <c r="N11" s="34">
        <v>630</v>
      </c>
      <c r="O11" s="34">
        <v>739</v>
      </c>
      <c r="P11" s="34">
        <v>722</v>
      </c>
      <c r="Q11" s="34">
        <v>758</v>
      </c>
      <c r="R11" s="34">
        <v>762</v>
      </c>
      <c r="S11" s="34">
        <v>190</v>
      </c>
      <c r="T11" s="34">
        <v>71</v>
      </c>
      <c r="U11" s="34">
        <v>424</v>
      </c>
      <c r="V11" s="34">
        <v>378</v>
      </c>
      <c r="W11" s="6">
        <v>1489</v>
      </c>
      <c r="X11" s="34">
        <v>795</v>
      </c>
      <c r="Y11" s="34">
        <v>583</v>
      </c>
      <c r="Z11" s="34">
        <v>592</v>
      </c>
      <c r="AA11" s="34">
        <v>13427</v>
      </c>
      <c r="AB11" s="34">
        <f>12393</f>
        <v>12393</v>
      </c>
      <c r="AC11" s="34">
        <f>7069</f>
        <v>7069</v>
      </c>
      <c r="AD11" s="34">
        <f>5581</f>
        <v>5581</v>
      </c>
      <c r="AE11" s="34">
        <f>4289</f>
        <v>4289</v>
      </c>
    </row>
    <row r="12" spans="1:31" x14ac:dyDescent="0.2">
      <c r="A12" s="6" t="s">
        <v>161</v>
      </c>
      <c r="B12" s="34">
        <v>815</v>
      </c>
      <c r="C12" s="34">
        <v>551</v>
      </c>
      <c r="D12" s="34">
        <v>472</v>
      </c>
      <c r="E12" s="34">
        <v>433</v>
      </c>
      <c r="F12" s="34">
        <v>390</v>
      </c>
      <c r="G12" s="34">
        <v>1332</v>
      </c>
      <c r="H12" s="34">
        <v>756</v>
      </c>
      <c r="I12" s="34">
        <v>2521</v>
      </c>
      <c r="J12" s="34">
        <v>2164</v>
      </c>
      <c r="K12" s="34">
        <v>3303</v>
      </c>
      <c r="L12" s="34">
        <v>3801</v>
      </c>
      <c r="M12" s="34">
        <v>5063</v>
      </c>
      <c r="N12" s="34">
        <v>5633</v>
      </c>
      <c r="O12" s="34">
        <v>5867</v>
      </c>
      <c r="P12" s="34">
        <v>6539</v>
      </c>
      <c r="Q12" s="34">
        <v>5777</v>
      </c>
      <c r="R12" s="34">
        <v>5586</v>
      </c>
      <c r="S12" s="34">
        <v>4692</v>
      </c>
      <c r="T12" s="34">
        <v>4442</v>
      </c>
      <c r="U12" s="34">
        <v>4253</v>
      </c>
      <c r="V12" s="34">
        <v>3554</v>
      </c>
      <c r="W12" s="6">
        <v>3345</v>
      </c>
      <c r="X12" s="34">
        <v>2847</v>
      </c>
      <c r="Y12" s="34">
        <v>1569</v>
      </c>
      <c r="Z12" s="34">
        <v>882</v>
      </c>
      <c r="AA12" s="34">
        <v>1446</v>
      </c>
      <c r="AB12" s="34">
        <f>1738</f>
        <v>1738</v>
      </c>
      <c r="AC12" s="34">
        <f>3090</f>
        <v>3090</v>
      </c>
      <c r="AD12" s="34">
        <f>4668</f>
        <v>4668</v>
      </c>
      <c r="AE12" s="34">
        <v>5061</v>
      </c>
    </row>
    <row r="13" spans="1:31" x14ac:dyDescent="0.2">
      <c r="A13" s="6" t="s">
        <v>162</v>
      </c>
      <c r="B13" s="34">
        <v>440</v>
      </c>
      <c r="C13" s="34">
        <v>679</v>
      </c>
      <c r="D13" s="34">
        <v>536</v>
      </c>
      <c r="E13" s="34">
        <v>434</v>
      </c>
      <c r="F13" s="34">
        <v>433</v>
      </c>
      <c r="G13" s="34">
        <v>560</v>
      </c>
      <c r="H13" s="34">
        <v>710</v>
      </c>
      <c r="I13" s="34">
        <v>885</v>
      </c>
      <c r="J13" s="34">
        <v>1040</v>
      </c>
      <c r="K13" s="34">
        <v>1159</v>
      </c>
      <c r="L13" s="34">
        <v>1412</v>
      </c>
      <c r="M13" s="34">
        <v>1414</v>
      </c>
      <c r="N13" s="34">
        <v>1617</v>
      </c>
      <c r="O13" s="34">
        <v>2173</v>
      </c>
      <c r="P13" s="34">
        <v>2731</v>
      </c>
      <c r="Q13" s="34">
        <v>2806</v>
      </c>
      <c r="R13" s="34">
        <v>3297</v>
      </c>
      <c r="S13" s="34">
        <v>3921</v>
      </c>
      <c r="T13" s="34">
        <v>5221</v>
      </c>
      <c r="U13" s="34">
        <v>6692</v>
      </c>
      <c r="V13" s="34">
        <v>7705</v>
      </c>
      <c r="W13" s="6">
        <v>7347</v>
      </c>
      <c r="X13" s="34">
        <v>9548</v>
      </c>
      <c r="Y13" s="34">
        <v>11373</v>
      </c>
      <c r="Z13" s="34">
        <v>11751</v>
      </c>
      <c r="AA13" s="34">
        <v>11298</v>
      </c>
      <c r="AB13" s="34">
        <f>13138</f>
        <v>13138</v>
      </c>
      <c r="AC13" s="34">
        <f>17670</f>
        <v>17670</v>
      </c>
      <c r="AD13" s="34">
        <f>22737</f>
        <v>22737</v>
      </c>
      <c r="AE13" s="34">
        <f>25878</f>
        <v>25878</v>
      </c>
    </row>
    <row r="14" spans="1:31" x14ac:dyDescent="0.2">
      <c r="A14" s="6" t="s">
        <v>163</v>
      </c>
      <c r="B14" s="34">
        <v>5</v>
      </c>
      <c r="C14" s="34">
        <v>92</v>
      </c>
      <c r="D14" s="34">
        <v>10</v>
      </c>
      <c r="E14" s="34">
        <v>11</v>
      </c>
      <c r="F14" s="34">
        <v>10</v>
      </c>
      <c r="G14" s="34">
        <v>10</v>
      </c>
      <c r="H14" s="34">
        <v>10</v>
      </c>
      <c r="I14" s="34">
        <v>10</v>
      </c>
      <c r="J14" s="34">
        <v>10</v>
      </c>
      <c r="K14" s="34">
        <v>5</v>
      </c>
      <c r="L14" s="34">
        <v>2</v>
      </c>
      <c r="M14" s="34">
        <v>0</v>
      </c>
      <c r="N14" s="34"/>
      <c r="O14" s="34">
        <v>0</v>
      </c>
      <c r="P14" s="34"/>
      <c r="Q14" s="34">
        <v>0</v>
      </c>
      <c r="R14" s="34"/>
      <c r="S14" s="34">
        <v>0</v>
      </c>
      <c r="T14" s="34"/>
      <c r="U14" s="34">
        <v>0</v>
      </c>
      <c r="W14" s="34">
        <v>0</v>
      </c>
      <c r="X14" s="34">
        <v>0</v>
      </c>
      <c r="Y14" s="34"/>
      <c r="Z14" s="34">
        <v>0</v>
      </c>
      <c r="AA14" s="34">
        <v>0</v>
      </c>
      <c r="AB14" s="34">
        <f>0</f>
        <v>0</v>
      </c>
      <c r="AC14" s="34">
        <f>0</f>
        <v>0</v>
      </c>
      <c r="AD14" s="34">
        <f>0</f>
        <v>0</v>
      </c>
      <c r="AE14" s="34">
        <f>0</f>
        <v>0</v>
      </c>
    </row>
    <row r="15" spans="1:31" x14ac:dyDescent="0.2">
      <c r="A15" s="37" t="s">
        <v>164</v>
      </c>
      <c r="B15" s="78">
        <v>3058</v>
      </c>
      <c r="C15" s="78">
        <v>3419</v>
      </c>
      <c r="D15" s="78">
        <v>3218</v>
      </c>
      <c r="E15" s="78">
        <v>3318</v>
      </c>
      <c r="F15" s="78">
        <v>3565</v>
      </c>
      <c r="G15" s="78">
        <v>5281</v>
      </c>
      <c r="H15" s="78">
        <v>5538</v>
      </c>
      <c r="I15" s="78">
        <v>7763</v>
      </c>
      <c r="J15" s="78">
        <v>6865</v>
      </c>
      <c r="K15" s="78">
        <v>8062</v>
      </c>
      <c r="L15" s="78">
        <v>8686</v>
      </c>
      <c r="M15" s="78">
        <v>10472</v>
      </c>
      <c r="N15" s="78">
        <v>11161</v>
      </c>
      <c r="O15" s="78">
        <v>12197</v>
      </c>
      <c r="P15" s="78">
        <v>13470</v>
      </c>
      <c r="Q15" s="78">
        <v>12842</v>
      </c>
      <c r="R15" s="78">
        <v>14405</v>
      </c>
      <c r="S15" s="78">
        <v>13429</v>
      </c>
      <c r="T15" s="78">
        <v>14018</v>
      </c>
      <c r="U15" s="78">
        <v>15568</v>
      </c>
      <c r="V15" s="78">
        <v>15539</v>
      </c>
      <c r="W15" s="40">
        <v>16647</v>
      </c>
      <c r="X15" s="78">
        <f>SUM(X8:X14)</f>
        <v>18283</v>
      </c>
      <c r="Y15" s="78">
        <v>21104</v>
      </c>
      <c r="Z15" s="78">
        <f t="shared" ref="Z15:AE15" si="0">SUM(Z8:Z14)</f>
        <v>21200</v>
      </c>
      <c r="AA15" s="78">
        <f t="shared" si="0"/>
        <v>35655</v>
      </c>
      <c r="AB15" s="78">
        <f t="shared" si="0"/>
        <v>40922</v>
      </c>
      <c r="AC15" s="78">
        <f t="shared" si="0"/>
        <v>41956</v>
      </c>
      <c r="AD15" s="78">
        <f t="shared" si="0"/>
        <v>49183</v>
      </c>
      <c r="AE15" s="78">
        <f t="shared" si="0"/>
        <v>57501</v>
      </c>
    </row>
    <row r="16" spans="1:31" x14ac:dyDescent="0.2">
      <c r="A16" s="3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AB16" s="6"/>
      <c r="AE16" s="6"/>
    </row>
    <row r="17" spans="1:31" x14ac:dyDescent="0.2">
      <c r="A17" s="44" t="s">
        <v>165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AB17" s="6"/>
      <c r="AE17" s="6"/>
    </row>
    <row r="18" spans="1:31" x14ac:dyDescent="0.2">
      <c r="A18" s="40" t="s">
        <v>166</v>
      </c>
      <c r="B18" s="78">
        <v>27867</v>
      </c>
      <c r="C18" s="78">
        <v>32047</v>
      </c>
      <c r="D18" s="78">
        <v>34613</v>
      </c>
      <c r="E18" s="78">
        <v>41522</v>
      </c>
      <c r="F18" s="78">
        <v>44056</v>
      </c>
      <c r="G18" s="78">
        <v>50057</v>
      </c>
      <c r="H18" s="78">
        <v>57132</v>
      </c>
      <c r="I18" s="78">
        <v>57525</v>
      </c>
      <c r="J18" s="78">
        <v>61131</v>
      </c>
      <c r="K18" s="78">
        <v>67722</v>
      </c>
      <c r="L18" s="78">
        <v>69237</v>
      </c>
      <c r="M18" s="78">
        <v>71261</v>
      </c>
      <c r="N18" s="78">
        <v>77924</v>
      </c>
      <c r="O18" s="78">
        <v>78122</v>
      </c>
      <c r="P18" s="78">
        <v>81863</v>
      </c>
      <c r="Q18" s="78">
        <v>67694</v>
      </c>
      <c r="R18" s="78">
        <v>106579</v>
      </c>
      <c r="S18" s="78">
        <v>100689</v>
      </c>
      <c r="T18" s="78">
        <v>97357</v>
      </c>
      <c r="U18" s="78">
        <v>115445</v>
      </c>
      <c r="V18" s="78">
        <f>SUM(V19:V22)</f>
        <v>110489</v>
      </c>
      <c r="W18" s="78">
        <v>110153</v>
      </c>
      <c r="X18" s="78">
        <f>SUM(X19:X21)</f>
        <v>139852</v>
      </c>
      <c r="Y18" s="78">
        <v>142519</v>
      </c>
      <c r="Z18" s="78">
        <f>SUM(Z19:Z21)</f>
        <v>153875</v>
      </c>
      <c r="AA18" s="78">
        <f>SUM(AA19:AA22)</f>
        <v>152035</v>
      </c>
      <c r="AB18" s="78">
        <f>SUM(AB19:AB22)</f>
        <v>142139</v>
      </c>
      <c r="AC18" s="78">
        <f t="shared" ref="AC18" si="1">SUM(AC19:AC22)</f>
        <v>171449</v>
      </c>
      <c r="AD18" s="78">
        <f>SUM(AD19:AD22)</f>
        <v>152307</v>
      </c>
      <c r="AE18" s="78">
        <f>SUM(AE19:AE22)</f>
        <v>180902</v>
      </c>
    </row>
    <row r="19" spans="1:31" x14ac:dyDescent="0.2">
      <c r="A19" s="63" t="s">
        <v>167</v>
      </c>
      <c r="B19" s="34">
        <v>18892</v>
      </c>
      <c r="C19" s="34">
        <v>14610</v>
      </c>
      <c r="D19" s="34">
        <v>24435</v>
      </c>
      <c r="E19" s="34">
        <v>26612</v>
      </c>
      <c r="F19" s="34">
        <v>34148</v>
      </c>
      <c r="G19" s="34">
        <v>31554</v>
      </c>
      <c r="H19" s="34">
        <v>39669</v>
      </c>
      <c r="I19" s="34">
        <v>35239</v>
      </c>
      <c r="J19" s="34">
        <v>41551</v>
      </c>
      <c r="K19" s="34">
        <v>41335</v>
      </c>
      <c r="L19" s="34">
        <v>43996</v>
      </c>
      <c r="M19" s="34">
        <v>48720</v>
      </c>
      <c r="N19" s="34">
        <v>56504</v>
      </c>
      <c r="O19" s="34">
        <v>57179</v>
      </c>
      <c r="P19" s="34">
        <v>67288</v>
      </c>
      <c r="Q19" s="34">
        <v>52105</v>
      </c>
      <c r="R19" s="34">
        <v>91670</v>
      </c>
      <c r="S19" s="34">
        <v>87631</v>
      </c>
      <c r="T19" s="34">
        <v>83782</v>
      </c>
      <c r="U19" s="34">
        <v>104877</v>
      </c>
      <c r="V19" s="34">
        <v>99402</v>
      </c>
      <c r="W19" s="34">
        <v>99266</v>
      </c>
      <c r="X19" s="34">
        <v>111582</v>
      </c>
      <c r="Y19" s="34">
        <v>123522</v>
      </c>
      <c r="Z19" s="34">
        <v>121722</v>
      </c>
      <c r="AA19" s="34">
        <v>119038</v>
      </c>
      <c r="AB19" s="34">
        <f>116646</f>
        <v>116646</v>
      </c>
      <c r="AC19" s="34">
        <f>148085</f>
        <v>148085</v>
      </c>
      <c r="AD19" s="34">
        <f>136010</f>
        <v>136010</v>
      </c>
      <c r="AE19" s="120">
        <f>170494</f>
        <v>170494</v>
      </c>
    </row>
    <row r="20" spans="1:31" x14ac:dyDescent="0.2">
      <c r="A20" s="63" t="s">
        <v>168</v>
      </c>
      <c r="B20" s="34">
        <v>9069</v>
      </c>
      <c r="C20" s="34">
        <v>10328</v>
      </c>
      <c r="D20" s="34">
        <v>9758</v>
      </c>
      <c r="E20" s="34">
        <v>11605</v>
      </c>
      <c r="F20" s="34">
        <v>8992</v>
      </c>
      <c r="G20" s="34">
        <v>16086</v>
      </c>
      <c r="H20" s="34">
        <v>16664</v>
      </c>
      <c r="I20" s="34">
        <v>19797</v>
      </c>
      <c r="J20" s="34">
        <v>19269</v>
      </c>
      <c r="K20" s="34">
        <v>26701</v>
      </c>
      <c r="L20" s="34">
        <v>25712</v>
      </c>
      <c r="M20" s="34">
        <v>23006</v>
      </c>
      <c r="N20" s="34">
        <v>21984</v>
      </c>
      <c r="O20" s="34">
        <v>21873</v>
      </c>
      <c r="P20" s="34">
        <v>16254</v>
      </c>
      <c r="Q20" s="34">
        <v>16141</v>
      </c>
      <c r="R20" s="34">
        <v>16218</v>
      </c>
      <c r="S20" s="34">
        <v>15215</v>
      </c>
      <c r="T20" s="34">
        <v>16008</v>
      </c>
      <c r="U20" s="34">
        <v>13103</v>
      </c>
      <c r="V20" s="34">
        <v>14938</v>
      </c>
      <c r="W20" s="34">
        <v>16544</v>
      </c>
      <c r="X20" s="34">
        <v>22333</v>
      </c>
      <c r="Y20" s="34">
        <v>20526</v>
      </c>
      <c r="Z20" s="34">
        <v>25005</v>
      </c>
      <c r="AA20" s="34">
        <v>31718</v>
      </c>
      <c r="AB20" s="34">
        <f>24635</f>
        <v>24635</v>
      </c>
      <c r="AC20" s="34">
        <f>22169</f>
        <v>22169</v>
      </c>
      <c r="AD20" s="34">
        <f>12489</f>
        <v>12489</v>
      </c>
      <c r="AE20" s="120">
        <f>14806</f>
        <v>14806</v>
      </c>
    </row>
    <row r="21" spans="1:31" x14ac:dyDescent="0.2">
      <c r="A21" s="63" t="s">
        <v>169</v>
      </c>
      <c r="B21" s="34">
        <v>565</v>
      </c>
      <c r="C21" s="34">
        <v>7252</v>
      </c>
      <c r="D21" s="34">
        <v>562</v>
      </c>
      <c r="E21" s="34">
        <v>3609</v>
      </c>
      <c r="F21" s="34">
        <v>922</v>
      </c>
      <c r="G21" s="34">
        <v>2423</v>
      </c>
      <c r="H21" s="34">
        <v>890</v>
      </c>
      <c r="I21" s="34">
        <v>2961</v>
      </c>
      <c r="J21" s="34">
        <v>813</v>
      </c>
      <c r="K21" s="34">
        <v>672</v>
      </c>
      <c r="L21" s="34">
        <v>805</v>
      </c>
      <c r="M21" s="34">
        <v>951</v>
      </c>
      <c r="N21" s="34">
        <v>1164</v>
      </c>
      <c r="O21" s="34">
        <v>1226</v>
      </c>
      <c r="P21" s="34">
        <v>2041</v>
      </c>
      <c r="Q21" s="34">
        <v>2017</v>
      </c>
      <c r="R21" s="34">
        <v>1739</v>
      </c>
      <c r="S21" s="34">
        <v>1699</v>
      </c>
      <c r="T21" s="34">
        <v>1742</v>
      </c>
      <c r="U21" s="34">
        <v>1997</v>
      </c>
      <c r="V21" s="34">
        <v>2484</v>
      </c>
      <c r="W21" s="34">
        <v>1701</v>
      </c>
      <c r="X21" s="34">
        <v>5937</v>
      </c>
      <c r="Y21" s="34">
        <v>6050</v>
      </c>
      <c r="Z21" s="34">
        <v>7148</v>
      </c>
      <c r="AA21" s="34">
        <v>8402</v>
      </c>
      <c r="AB21" s="34">
        <f>9355</f>
        <v>9355</v>
      </c>
      <c r="AC21" s="34">
        <f>9181</f>
        <v>9181</v>
      </c>
      <c r="AD21" s="34">
        <f>9385</f>
        <v>9385</v>
      </c>
      <c r="AE21" s="120">
        <v>2826</v>
      </c>
    </row>
    <row r="22" spans="1:31" x14ac:dyDescent="0.2">
      <c r="A22" s="63" t="s">
        <v>170</v>
      </c>
      <c r="B22" s="34">
        <v>-659</v>
      </c>
      <c r="C22" s="34">
        <v>-143</v>
      </c>
      <c r="D22" s="34">
        <v>-142</v>
      </c>
      <c r="E22" s="34">
        <v>-304</v>
      </c>
      <c r="F22" s="34">
        <v>-6</v>
      </c>
      <c r="G22" s="34">
        <v>-6</v>
      </c>
      <c r="H22" s="34">
        <v>-91</v>
      </c>
      <c r="I22" s="34">
        <v>-472</v>
      </c>
      <c r="J22" s="34">
        <v>-502</v>
      </c>
      <c r="K22" s="34">
        <v>-986</v>
      </c>
      <c r="L22" s="34">
        <v>-1276</v>
      </c>
      <c r="M22" s="34">
        <v>-1416</v>
      </c>
      <c r="N22" s="34">
        <v>-1728</v>
      </c>
      <c r="O22" s="34">
        <v>-2156</v>
      </c>
      <c r="P22" s="34">
        <v>-3720</v>
      </c>
      <c r="Q22" s="34">
        <v>-2569</v>
      </c>
      <c r="R22" s="34">
        <v>-3048</v>
      </c>
      <c r="S22" s="34">
        <v>-3856</v>
      </c>
      <c r="T22" s="34">
        <v>-4175</v>
      </c>
      <c r="U22" s="34">
        <v>-4532</v>
      </c>
      <c r="V22" s="34">
        <f>-(4412+1902+21)</f>
        <v>-6335</v>
      </c>
      <c r="W22" s="34">
        <v>-7358</v>
      </c>
      <c r="X22" s="34">
        <v>-5745</v>
      </c>
      <c r="Y22" s="34">
        <f>-3922-3654-3</f>
        <v>-7579</v>
      </c>
      <c r="Z22" s="34">
        <f>-3721-3980</f>
        <v>-7701</v>
      </c>
      <c r="AA22" s="34">
        <f>-1928-5193-2</f>
        <v>-7123</v>
      </c>
      <c r="AB22" s="34">
        <f>-2717-5778-2</f>
        <v>-8497</v>
      </c>
      <c r="AC22" s="34">
        <f>-3541-4435-10</f>
        <v>-7986</v>
      </c>
      <c r="AD22" s="34">
        <f>-5577</f>
        <v>-5577</v>
      </c>
      <c r="AE22" s="98">
        <f>-5589-1615-20</f>
        <v>-7224</v>
      </c>
    </row>
    <row r="23" spans="1:31" x14ac:dyDescent="0.2">
      <c r="A23" s="40" t="s">
        <v>171</v>
      </c>
      <c r="B23" s="78">
        <v>4971</v>
      </c>
      <c r="C23" s="78">
        <v>7473</v>
      </c>
      <c r="D23" s="78">
        <v>8200</v>
      </c>
      <c r="E23" s="78">
        <v>11058</v>
      </c>
      <c r="F23" s="78">
        <v>14387</v>
      </c>
      <c r="G23" s="78">
        <v>15078</v>
      </c>
      <c r="H23" s="78">
        <v>17746</v>
      </c>
      <c r="I23" s="78">
        <v>15074</v>
      </c>
      <c r="J23" s="78">
        <v>15926</v>
      </c>
      <c r="K23" s="78">
        <v>18234</v>
      </c>
      <c r="L23" s="78">
        <v>20340</v>
      </c>
      <c r="M23" s="78">
        <v>21409</v>
      </c>
      <c r="N23" s="78">
        <v>26468</v>
      </c>
      <c r="O23" s="78">
        <v>30184</v>
      </c>
      <c r="P23" s="78">
        <v>23728</v>
      </c>
      <c r="Q23" s="78">
        <v>20408</v>
      </c>
      <c r="R23" s="78">
        <v>25451</v>
      </c>
      <c r="S23" s="78">
        <v>25143</v>
      </c>
      <c r="T23" s="78">
        <v>24775</v>
      </c>
      <c r="U23" s="78">
        <v>28624</v>
      </c>
      <c r="V23" s="78">
        <f>SUM(V24:V28)</f>
        <v>36412</v>
      </c>
      <c r="W23" s="78">
        <v>49693</v>
      </c>
      <c r="X23" s="78">
        <f>SUM(X24:X28)</f>
        <v>61739</v>
      </c>
      <c r="Y23" s="78">
        <v>55561</v>
      </c>
      <c r="Z23" s="78">
        <f t="shared" ref="Z23:AD23" si="2">SUM(Z24:Z28)</f>
        <v>44890</v>
      </c>
      <c r="AA23" s="78">
        <f t="shared" si="2"/>
        <v>61278</v>
      </c>
      <c r="AB23" s="78">
        <f t="shared" si="2"/>
        <v>81460</v>
      </c>
      <c r="AC23" s="78">
        <f t="shared" si="2"/>
        <v>113156</v>
      </c>
      <c r="AD23" s="78">
        <f t="shared" si="2"/>
        <v>135877</v>
      </c>
      <c r="AE23" s="117">
        <f>SUM(AE24:AE28)</f>
        <v>130145</v>
      </c>
    </row>
    <row r="24" spans="1:31" x14ac:dyDescent="0.2">
      <c r="A24" s="63" t="s">
        <v>172</v>
      </c>
      <c r="B24" s="34">
        <v>2622</v>
      </c>
      <c r="C24" s="34">
        <v>3549</v>
      </c>
      <c r="D24" s="34">
        <v>3640</v>
      </c>
      <c r="E24" s="34">
        <v>5759</v>
      </c>
      <c r="F24" s="34">
        <v>7399</v>
      </c>
      <c r="G24" s="34">
        <v>5589</v>
      </c>
      <c r="H24" s="34">
        <v>6660</v>
      </c>
      <c r="I24" s="34">
        <v>6920</v>
      </c>
      <c r="J24" s="34">
        <v>7461</v>
      </c>
      <c r="K24" s="34">
        <v>8444</v>
      </c>
      <c r="L24" s="34">
        <v>9185</v>
      </c>
      <c r="M24" s="34">
        <v>10058</v>
      </c>
      <c r="N24" s="34">
        <v>12396</v>
      </c>
      <c r="O24" s="34">
        <v>10894</v>
      </c>
      <c r="P24" s="34">
        <v>9620</v>
      </c>
      <c r="Q24" s="34">
        <v>8075</v>
      </c>
      <c r="R24" s="34">
        <v>10384</v>
      </c>
      <c r="S24" s="34">
        <v>9988</v>
      </c>
      <c r="T24" s="34">
        <v>9489</v>
      </c>
      <c r="U24" s="34">
        <v>8384</v>
      </c>
      <c r="V24" s="34">
        <v>10779</v>
      </c>
      <c r="W24" s="34">
        <v>11015</v>
      </c>
      <c r="X24" s="34">
        <v>12928</v>
      </c>
      <c r="Y24" s="34">
        <v>12613</v>
      </c>
      <c r="Z24" s="34">
        <v>12850</v>
      </c>
      <c r="AA24" s="34">
        <v>11328</v>
      </c>
      <c r="AB24" s="34">
        <f>13358</f>
        <v>13358</v>
      </c>
      <c r="AC24" s="34">
        <f>16222</f>
        <v>16222</v>
      </c>
      <c r="AD24" s="34">
        <f>13302</f>
        <v>13302</v>
      </c>
      <c r="AE24" s="98">
        <f>13670</f>
        <v>13670</v>
      </c>
    </row>
    <row r="25" spans="1:31" x14ac:dyDescent="0.2">
      <c r="A25" s="63" t="s">
        <v>173</v>
      </c>
      <c r="B25" s="34"/>
      <c r="C25" s="34">
        <v>0</v>
      </c>
      <c r="D25" s="34"/>
      <c r="E25" s="34">
        <v>0</v>
      </c>
      <c r="F25" s="34"/>
      <c r="G25" s="34">
        <v>0</v>
      </c>
      <c r="H25" s="34"/>
      <c r="I25" s="34">
        <v>0</v>
      </c>
      <c r="J25" s="34"/>
      <c r="K25" s="34">
        <v>0</v>
      </c>
      <c r="L25" s="34"/>
      <c r="M25" s="34">
        <v>0</v>
      </c>
      <c r="N25" s="34"/>
      <c r="O25" s="34">
        <v>1187</v>
      </c>
      <c r="P25" s="34">
        <v>164</v>
      </c>
      <c r="Q25" s="34">
        <v>1244</v>
      </c>
      <c r="R25" s="34">
        <v>1577</v>
      </c>
      <c r="S25" s="34">
        <v>2463</v>
      </c>
      <c r="T25" s="34">
        <v>3976</v>
      </c>
      <c r="U25" s="34">
        <v>7138</v>
      </c>
      <c r="V25" s="34">
        <v>12375</v>
      </c>
      <c r="W25" s="34">
        <v>25332</v>
      </c>
      <c r="X25" s="34">
        <v>32772</v>
      </c>
      <c r="Y25" s="34">
        <v>28733</v>
      </c>
      <c r="Z25" s="34">
        <v>17822</v>
      </c>
      <c r="AA25" s="34">
        <v>31252</v>
      </c>
      <c r="AB25" s="34">
        <f>43023</f>
        <v>43023</v>
      </c>
      <c r="AC25" s="34">
        <f>72276</f>
        <v>72276</v>
      </c>
      <c r="AD25" s="34">
        <f>94317</f>
        <v>94317</v>
      </c>
      <c r="AE25" s="98">
        <f>94281</f>
        <v>94281</v>
      </c>
    </row>
    <row r="26" spans="1:31" x14ac:dyDescent="0.2">
      <c r="A26" s="63" t="s">
        <v>174</v>
      </c>
      <c r="B26" s="34">
        <v>1302</v>
      </c>
      <c r="C26" s="34">
        <v>2777</v>
      </c>
      <c r="D26" s="34">
        <v>2548</v>
      </c>
      <c r="E26" s="34">
        <v>2954</v>
      </c>
      <c r="F26" s="34">
        <v>2689</v>
      </c>
      <c r="G26" s="34">
        <v>3103</v>
      </c>
      <c r="H26" s="34">
        <v>3055</v>
      </c>
      <c r="I26" s="34">
        <v>5721</v>
      </c>
      <c r="J26" s="34">
        <v>5489</v>
      </c>
      <c r="K26" s="34">
        <v>6832</v>
      </c>
      <c r="L26" s="34">
        <v>8463</v>
      </c>
      <c r="M26" s="34">
        <v>7733</v>
      </c>
      <c r="N26" s="34">
        <v>9424</v>
      </c>
      <c r="O26" s="34">
        <v>14016</v>
      </c>
      <c r="P26" s="34">
        <v>9841</v>
      </c>
      <c r="Q26" s="34">
        <v>8625</v>
      </c>
      <c r="R26" s="34">
        <v>9396</v>
      </c>
      <c r="S26" s="34">
        <v>8134</v>
      </c>
      <c r="T26" s="34">
        <v>6434</v>
      </c>
      <c r="U26" s="34">
        <v>6993</v>
      </c>
      <c r="V26" s="34">
        <v>7031</v>
      </c>
      <c r="W26" s="34">
        <v>6837</v>
      </c>
      <c r="X26" s="34">
        <v>7131</v>
      </c>
      <c r="Y26" s="34">
        <v>7447</v>
      </c>
      <c r="Z26" s="34">
        <v>7422</v>
      </c>
      <c r="AA26" s="34">
        <v>6831</v>
      </c>
      <c r="AB26" s="34">
        <f>9389</f>
        <v>9389</v>
      </c>
      <c r="AC26" s="34">
        <f>9031</f>
        <v>9031</v>
      </c>
      <c r="AD26" s="34">
        <f>10703</f>
        <v>10703</v>
      </c>
      <c r="AE26" s="98">
        <f>17889</f>
        <v>17889</v>
      </c>
    </row>
    <row r="27" spans="1:31" x14ac:dyDescent="0.2">
      <c r="A27" s="63" t="s">
        <v>175</v>
      </c>
      <c r="B27" s="34">
        <v>1162</v>
      </c>
      <c r="C27" s="34">
        <v>1300</v>
      </c>
      <c r="D27" s="34">
        <v>2132</v>
      </c>
      <c r="E27" s="34">
        <v>2436</v>
      </c>
      <c r="F27" s="34">
        <v>4417</v>
      </c>
      <c r="G27" s="34">
        <v>6460</v>
      </c>
      <c r="H27" s="34">
        <v>8127</v>
      </c>
      <c r="I27" s="34">
        <v>2733</v>
      </c>
      <c r="J27" s="34">
        <v>3409</v>
      </c>
      <c r="K27" s="34">
        <v>3546</v>
      </c>
      <c r="L27" s="34">
        <v>3246</v>
      </c>
      <c r="M27" s="34">
        <v>4194</v>
      </c>
      <c r="N27" s="34">
        <v>5535</v>
      </c>
      <c r="O27" s="34">
        <v>4926</v>
      </c>
      <c r="P27" s="34">
        <v>4934</v>
      </c>
      <c r="Q27" s="34">
        <v>3980</v>
      </c>
      <c r="R27" s="34">
        <v>5785</v>
      </c>
      <c r="S27" s="34">
        <v>6238</v>
      </c>
      <c r="T27" s="34">
        <v>6621</v>
      </c>
      <c r="U27" s="34">
        <v>7921</v>
      </c>
      <c r="V27" s="34">
        <v>8149</v>
      </c>
      <c r="W27" s="34">
        <v>7999</v>
      </c>
      <c r="X27" s="34">
        <v>10813</v>
      </c>
      <c r="Y27" s="34">
        <f>11216+1607</f>
        <v>12823</v>
      </c>
      <c r="Z27" s="34">
        <v>9569</v>
      </c>
      <c r="AA27" s="34">
        <f>11674+2325</f>
        <v>13999</v>
      </c>
      <c r="AB27" s="34">
        <f>16143+1777</f>
        <v>17920</v>
      </c>
      <c r="AC27" s="34">
        <f>16350+1422</f>
        <v>17772</v>
      </c>
      <c r="AD27" s="34">
        <f>18694+873</f>
        <v>19567</v>
      </c>
      <c r="AE27" s="98">
        <f>6869</f>
        <v>6869</v>
      </c>
    </row>
    <row r="28" spans="1:31" x14ac:dyDescent="0.2">
      <c r="A28" s="63" t="s">
        <v>297</v>
      </c>
      <c r="B28" s="34">
        <v>-115</v>
      </c>
      <c r="C28" s="34">
        <v>-153</v>
      </c>
      <c r="D28" s="34">
        <v>-120</v>
      </c>
      <c r="E28" s="34">
        <v>-91</v>
      </c>
      <c r="F28" s="34">
        <v>-118</v>
      </c>
      <c r="G28" s="34">
        <v>-74</v>
      </c>
      <c r="H28" s="34">
        <v>-96</v>
      </c>
      <c r="I28" s="34">
        <v>-300</v>
      </c>
      <c r="J28" s="34">
        <v>-433</v>
      </c>
      <c r="K28" s="34">
        <v>-588</v>
      </c>
      <c r="L28" s="34">
        <v>-554</v>
      </c>
      <c r="M28" s="34">
        <v>-576</v>
      </c>
      <c r="N28" s="34">
        <v>-887</v>
      </c>
      <c r="O28" s="34">
        <v>-839</v>
      </c>
      <c r="P28" s="34">
        <v>-831</v>
      </c>
      <c r="Q28" s="34">
        <v>-1516</v>
      </c>
      <c r="R28" s="34">
        <v>-1691</v>
      </c>
      <c r="S28" s="34">
        <v>-1680</v>
      </c>
      <c r="T28" s="34">
        <v>-1745</v>
      </c>
      <c r="U28" s="34">
        <v>-1812</v>
      </c>
      <c r="V28" s="34">
        <v>-1922</v>
      </c>
      <c r="W28" s="34">
        <v>-1490</v>
      </c>
      <c r="X28" s="34">
        <v>-1905</v>
      </c>
      <c r="Y28" s="34">
        <f>-1271-144-809</f>
        <v>-2224</v>
      </c>
      <c r="Z28" s="34">
        <v>-2773</v>
      </c>
      <c r="AA28" s="95">
        <f>-909-153-1070</f>
        <v>-2132</v>
      </c>
      <c r="AB28" s="95">
        <f>-1038-145-1047</f>
        <v>-2230</v>
      </c>
      <c r="AC28" s="95">
        <f>-808-265-1072</f>
        <v>-2145</v>
      </c>
      <c r="AD28" s="95">
        <f>-880-241-891</f>
        <v>-2012</v>
      </c>
      <c r="AE28" s="118">
        <f>-1051-931-582</f>
        <v>-2564</v>
      </c>
    </row>
    <row r="29" spans="1:31" x14ac:dyDescent="0.2">
      <c r="A29" s="63" t="s">
        <v>307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95">
        <f>1347</f>
        <v>1347</v>
      </c>
      <c r="AB29" s="95"/>
      <c r="AC29" s="95">
        <f>2484</f>
        <v>2484</v>
      </c>
      <c r="AD29" s="95">
        <f>2077</f>
        <v>2077</v>
      </c>
      <c r="AE29" s="118">
        <f>2071</f>
        <v>2071</v>
      </c>
    </row>
    <row r="30" spans="1:31" x14ac:dyDescent="0.2">
      <c r="A30" s="6" t="s">
        <v>176</v>
      </c>
      <c r="B30" s="34"/>
      <c r="C30" s="34">
        <v>0</v>
      </c>
      <c r="D30" s="34"/>
      <c r="E30" s="34">
        <v>0</v>
      </c>
      <c r="F30" s="34"/>
      <c r="G30" s="34">
        <v>0</v>
      </c>
      <c r="H30" s="34"/>
      <c r="I30" s="34">
        <v>0</v>
      </c>
      <c r="J30" s="34"/>
      <c r="K30" s="34">
        <v>0</v>
      </c>
      <c r="L30" s="34"/>
      <c r="M30" s="34">
        <v>0</v>
      </c>
      <c r="N30" s="34"/>
      <c r="O30" s="34">
        <v>0</v>
      </c>
      <c r="P30" s="34"/>
      <c r="Q30" s="34">
        <v>324</v>
      </c>
      <c r="R30" s="34">
        <v>706</v>
      </c>
      <c r="S30" s="34">
        <v>752</v>
      </c>
      <c r="T30" s="34">
        <v>755</v>
      </c>
      <c r="U30" s="34">
        <v>840</v>
      </c>
      <c r="V30" s="34">
        <v>897</v>
      </c>
      <c r="W30" s="34">
        <v>892</v>
      </c>
      <c r="X30" s="34">
        <v>1176</v>
      </c>
      <c r="Y30" s="34">
        <v>1197</v>
      </c>
      <c r="Z30" s="34">
        <v>1184</v>
      </c>
      <c r="AA30" s="34">
        <v>1662</v>
      </c>
      <c r="AB30" s="34">
        <f>2845</f>
        <v>2845</v>
      </c>
      <c r="AC30" s="34">
        <f>3022</f>
        <v>3022</v>
      </c>
      <c r="AD30" s="34">
        <f>2908</f>
        <v>2908</v>
      </c>
      <c r="AE30" s="98">
        <f>3163</f>
        <v>3163</v>
      </c>
    </row>
    <row r="31" spans="1:31" x14ac:dyDescent="0.2">
      <c r="A31" s="6" t="s">
        <v>177</v>
      </c>
      <c r="B31" s="34">
        <v>779</v>
      </c>
      <c r="C31" s="34">
        <v>1327</v>
      </c>
      <c r="D31" s="34">
        <v>3032</v>
      </c>
      <c r="E31" s="34">
        <v>6870</v>
      </c>
      <c r="F31" s="34">
        <v>3824</v>
      </c>
      <c r="G31" s="34">
        <v>5008</v>
      </c>
      <c r="H31" s="34">
        <v>5493</v>
      </c>
      <c r="I31" s="34">
        <v>1221</v>
      </c>
      <c r="J31" s="34">
        <v>2122</v>
      </c>
      <c r="K31" s="34">
        <v>733</v>
      </c>
      <c r="L31" s="34">
        <v>830</v>
      </c>
      <c r="M31" s="34">
        <v>793</v>
      </c>
      <c r="N31" s="34">
        <v>754</v>
      </c>
      <c r="O31" s="34">
        <v>185</v>
      </c>
      <c r="P31" s="34">
        <v>201</v>
      </c>
      <c r="Q31" s="34">
        <v>203</v>
      </c>
      <c r="R31" s="34">
        <v>879</v>
      </c>
      <c r="S31" s="34">
        <v>203</v>
      </c>
      <c r="T31" s="34">
        <v>304</v>
      </c>
      <c r="U31" s="34">
        <v>212</v>
      </c>
      <c r="V31" s="34">
        <v>92</v>
      </c>
      <c r="W31" s="34">
        <v>126</v>
      </c>
      <c r="X31" s="34">
        <v>53</v>
      </c>
      <c r="Y31" s="34">
        <v>22</v>
      </c>
      <c r="Z31" s="34">
        <v>20</v>
      </c>
      <c r="AA31" s="34">
        <v>37</v>
      </c>
      <c r="AB31" s="34">
        <f>28</f>
        <v>28</v>
      </c>
      <c r="AC31" s="34">
        <f>27</f>
        <v>27</v>
      </c>
      <c r="AD31" s="34">
        <f>173</f>
        <v>173</v>
      </c>
      <c r="AE31" s="98">
        <f>443</f>
        <v>443</v>
      </c>
    </row>
    <row r="32" spans="1:31" x14ac:dyDescent="0.2">
      <c r="A32" s="6" t="s">
        <v>178</v>
      </c>
      <c r="B32" s="34">
        <v>16146</v>
      </c>
      <c r="C32" s="34">
        <v>14484</v>
      </c>
      <c r="D32" s="34">
        <v>13276</v>
      </c>
      <c r="E32" s="34">
        <v>10716</v>
      </c>
      <c r="F32" s="34">
        <v>8559</v>
      </c>
      <c r="G32" s="34">
        <v>8139</v>
      </c>
      <c r="H32" s="34">
        <v>9635</v>
      </c>
      <c r="I32" s="34">
        <v>14631</v>
      </c>
      <c r="J32" s="34">
        <v>10042</v>
      </c>
      <c r="K32" s="34">
        <v>11532</v>
      </c>
      <c r="L32" s="34">
        <v>15770</v>
      </c>
      <c r="M32" s="34">
        <v>10206</v>
      </c>
      <c r="N32" s="34">
        <v>9392</v>
      </c>
      <c r="O32" s="34">
        <v>14125</v>
      </c>
      <c r="P32" s="34">
        <v>18865</v>
      </c>
      <c r="Q32" s="34">
        <v>23066</v>
      </c>
      <c r="R32" s="34">
        <v>35797</v>
      </c>
      <c r="S32" s="34">
        <v>31128</v>
      </c>
      <c r="T32" s="34">
        <v>24678</v>
      </c>
      <c r="U32" s="34">
        <v>25830</v>
      </c>
      <c r="V32" s="34">
        <v>39980</v>
      </c>
      <c r="W32" s="34">
        <v>44587</v>
      </c>
      <c r="X32" s="34">
        <v>39194</v>
      </c>
      <c r="Y32" s="34">
        <v>23811</v>
      </c>
      <c r="Z32" s="34">
        <v>25687</v>
      </c>
      <c r="AA32" s="34">
        <v>9724</v>
      </c>
      <c r="AB32" s="34">
        <f>6999</f>
        <v>6999</v>
      </c>
      <c r="AC32" s="34">
        <f>4320</f>
        <v>4320</v>
      </c>
      <c r="AD32" s="34">
        <f>5644</f>
        <v>5644</v>
      </c>
      <c r="AE32" s="98">
        <f>4889</f>
        <v>4889</v>
      </c>
    </row>
    <row r="33" spans="1:31" x14ac:dyDescent="0.2">
      <c r="A33" s="6" t="s">
        <v>179</v>
      </c>
      <c r="B33" s="34">
        <v>30</v>
      </c>
      <c r="C33" s="34">
        <v>34</v>
      </c>
      <c r="D33" s="34">
        <v>13</v>
      </c>
      <c r="E33" s="34">
        <v>32</v>
      </c>
      <c r="F33" s="34">
        <v>20</v>
      </c>
      <c r="G33" s="34">
        <v>7</v>
      </c>
      <c r="H33" s="34">
        <v>18</v>
      </c>
      <c r="I33" s="34">
        <v>66</v>
      </c>
      <c r="J33" s="34">
        <v>66</v>
      </c>
      <c r="K33" s="34">
        <v>0</v>
      </c>
      <c r="L33" s="34">
        <v>7</v>
      </c>
      <c r="M33" s="34">
        <v>0</v>
      </c>
      <c r="N33" s="34"/>
      <c r="O33" s="34">
        <v>0</v>
      </c>
      <c r="P33" s="34"/>
      <c r="Q33" s="34">
        <v>0</v>
      </c>
      <c r="R33" s="34"/>
      <c r="S33" s="34">
        <v>0</v>
      </c>
      <c r="T33" s="34"/>
      <c r="U33" s="34">
        <v>0</v>
      </c>
      <c r="W33" s="34">
        <v>0</v>
      </c>
      <c r="X33" s="34">
        <v>0</v>
      </c>
      <c r="Y33" s="34"/>
      <c r="Z33" s="34"/>
      <c r="AA33" s="34"/>
      <c r="AB33" s="34"/>
      <c r="AC33" s="34"/>
      <c r="AD33" s="34"/>
      <c r="AE33" s="98">
        <v>1083</v>
      </c>
    </row>
    <row r="34" spans="1:31" x14ac:dyDescent="0.2">
      <c r="A34" s="37" t="s">
        <v>180</v>
      </c>
      <c r="B34" s="78">
        <v>49793</v>
      </c>
      <c r="C34" s="78">
        <v>55365</v>
      </c>
      <c r="D34" s="78">
        <v>59134</v>
      </c>
      <c r="E34" s="78">
        <v>70198</v>
      </c>
      <c r="F34" s="78">
        <v>70846</v>
      </c>
      <c r="G34" s="78">
        <v>78289</v>
      </c>
      <c r="H34" s="78">
        <v>90024</v>
      </c>
      <c r="I34" s="78">
        <v>88517</v>
      </c>
      <c r="J34" s="78">
        <v>89287</v>
      </c>
      <c r="K34" s="78">
        <v>98221</v>
      </c>
      <c r="L34" s="78">
        <v>106184</v>
      </c>
      <c r="M34" s="78">
        <v>103669</v>
      </c>
      <c r="N34" s="78">
        <v>114538</v>
      </c>
      <c r="O34" s="78">
        <v>122616</v>
      </c>
      <c r="P34" s="78">
        <v>124657</v>
      </c>
      <c r="Q34" s="78">
        <v>111695</v>
      </c>
      <c r="R34" s="78">
        <v>169412</v>
      </c>
      <c r="S34" s="78">
        <v>157915</v>
      </c>
      <c r="T34" s="78">
        <v>147869</v>
      </c>
      <c r="U34" s="78">
        <v>170951</v>
      </c>
      <c r="V34" s="78">
        <v>188698</v>
      </c>
      <c r="W34" s="78">
        <v>205451</v>
      </c>
      <c r="X34" s="78">
        <v>236269</v>
      </c>
      <c r="Y34" s="78">
        <v>226941</v>
      </c>
      <c r="Z34" s="78">
        <v>230150</v>
      </c>
      <c r="AA34" s="78">
        <v>224736</v>
      </c>
      <c r="AB34" s="78">
        <f>233471</f>
        <v>233471</v>
      </c>
      <c r="AC34" s="78">
        <f>SUM(AC18,AC23,AC29:AC32)</f>
        <v>294458</v>
      </c>
      <c r="AD34" s="78">
        <f>SUM(AD18,AD23,AD29:AD32)</f>
        <v>298986</v>
      </c>
      <c r="AE34" s="117">
        <f>SUM(AE18,AE23,AE29:AE33)</f>
        <v>322696</v>
      </c>
    </row>
    <row r="35" spans="1:31" x14ac:dyDescent="0.2">
      <c r="A35" s="6" t="s">
        <v>181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>
        <v>402</v>
      </c>
      <c r="U35" s="34"/>
      <c r="Y35" s="34"/>
      <c r="Z35" s="34"/>
      <c r="AA35" s="34"/>
      <c r="AB35" s="34"/>
      <c r="AC35" s="34"/>
      <c r="AD35" s="34"/>
      <c r="AE35" s="98"/>
    </row>
    <row r="36" spans="1:31" x14ac:dyDescent="0.2">
      <c r="A36" s="45" t="s">
        <v>182</v>
      </c>
      <c r="B36" s="79">
        <v>52851</v>
      </c>
      <c r="C36" s="79">
        <v>58784</v>
      </c>
      <c r="D36" s="79">
        <v>62352</v>
      </c>
      <c r="E36" s="79">
        <v>73516</v>
      </c>
      <c r="F36" s="79">
        <v>74411</v>
      </c>
      <c r="G36" s="79">
        <v>83570</v>
      </c>
      <c r="H36" s="79">
        <v>95562</v>
      </c>
      <c r="I36" s="79">
        <v>96280</v>
      </c>
      <c r="J36" s="79">
        <v>96152</v>
      </c>
      <c r="K36" s="79">
        <v>106283</v>
      </c>
      <c r="L36" s="79">
        <v>114870</v>
      </c>
      <c r="M36" s="79">
        <v>114141</v>
      </c>
      <c r="N36" s="79">
        <v>125699</v>
      </c>
      <c r="O36" s="79">
        <v>134813</v>
      </c>
      <c r="P36" s="79">
        <v>138127</v>
      </c>
      <c r="Q36" s="79">
        <v>124537</v>
      </c>
      <c r="R36" s="79">
        <v>183817</v>
      </c>
      <c r="S36" s="79">
        <v>171344</v>
      </c>
      <c r="T36" s="79">
        <v>162289</v>
      </c>
      <c r="U36" s="79">
        <v>186519</v>
      </c>
      <c r="V36" s="62">
        <v>204237</v>
      </c>
      <c r="W36" s="62">
        <v>222098</v>
      </c>
      <c r="X36" s="62">
        <v>254552</v>
      </c>
      <c r="Y36" s="62">
        <v>248045</v>
      </c>
      <c r="Z36" s="62">
        <v>251350</v>
      </c>
      <c r="AA36" s="62">
        <v>260391</v>
      </c>
      <c r="AB36" s="62">
        <f>274393</f>
        <v>274393</v>
      </c>
      <c r="AC36" s="62">
        <f>SUM(AC15,AC34)</f>
        <v>336414</v>
      </c>
      <c r="AD36" s="62">
        <f>SUM(AD15,AD34)</f>
        <v>348169</v>
      </c>
      <c r="AE36" s="119">
        <f>SUM(AE15,AE34)</f>
        <v>380197</v>
      </c>
    </row>
    <row r="37" spans="1:31" x14ac:dyDescent="0.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W37" s="85"/>
      <c r="X37" s="85"/>
      <c r="Y37" s="85"/>
      <c r="Z37" s="85"/>
      <c r="AA37" s="85"/>
      <c r="AB37" s="85"/>
      <c r="AC37" s="85"/>
      <c r="AD37" s="85"/>
      <c r="AE37" s="85"/>
    </row>
    <row r="38" spans="1:31" x14ac:dyDescent="0.2">
      <c r="A38" s="46" t="s">
        <v>183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/>
      <c r="AB38" s="6"/>
      <c r="AE38" s="6"/>
    </row>
    <row r="39" spans="1:31" x14ac:dyDescent="0.2">
      <c r="A39" s="44" t="s">
        <v>184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AB39" s="6"/>
      <c r="AE39" s="6"/>
    </row>
    <row r="40" spans="1:31" x14ac:dyDescent="0.2">
      <c r="A40" s="6" t="s">
        <v>185</v>
      </c>
      <c r="B40" s="34">
        <v>15439</v>
      </c>
      <c r="C40" s="34">
        <v>14980</v>
      </c>
      <c r="D40" s="34">
        <v>14967</v>
      </c>
      <c r="E40" s="34">
        <v>14967</v>
      </c>
      <c r="F40" s="34">
        <v>14967</v>
      </c>
      <c r="G40" s="34">
        <v>14967</v>
      </c>
      <c r="H40" s="34">
        <v>14983</v>
      </c>
      <c r="I40" s="34">
        <v>14983</v>
      </c>
      <c r="J40" s="34">
        <v>14983</v>
      </c>
      <c r="K40" s="34">
        <v>14999</v>
      </c>
      <c r="L40" s="34">
        <v>14999</v>
      </c>
      <c r="M40" s="34">
        <v>15070</v>
      </c>
      <c r="N40" s="34">
        <v>14603</v>
      </c>
      <c r="O40" s="34">
        <v>14103</v>
      </c>
      <c r="P40" s="34">
        <v>15487</v>
      </c>
      <c r="Q40" s="34">
        <v>15487</v>
      </c>
      <c r="R40" s="34">
        <v>15487</v>
      </c>
      <c r="S40" s="34">
        <v>15487</v>
      </c>
      <c r="T40" s="34">
        <v>15487</v>
      </c>
      <c r="U40" s="34">
        <v>15487</v>
      </c>
      <c r="V40" s="34">
        <v>26490</v>
      </c>
      <c r="W40" s="34">
        <f t="shared" ref="W40:AE40" si="3">SUM(W41:W43)</f>
        <v>26368</v>
      </c>
      <c r="X40" s="34">
        <f t="shared" si="3"/>
        <v>26368</v>
      </c>
      <c r="Y40" s="34">
        <f t="shared" si="3"/>
        <v>26368</v>
      </c>
      <c r="Z40" s="34">
        <f t="shared" si="3"/>
        <v>26368</v>
      </c>
      <c r="AA40" s="34">
        <f t="shared" si="3"/>
        <v>26368</v>
      </c>
      <c r="AB40" s="34">
        <f t="shared" si="3"/>
        <v>26368</v>
      </c>
      <c r="AC40" s="34">
        <f t="shared" si="3"/>
        <v>26368</v>
      </c>
      <c r="AD40" s="34">
        <f t="shared" si="3"/>
        <v>26368</v>
      </c>
      <c r="AE40" s="34">
        <f t="shared" si="3"/>
        <v>26368</v>
      </c>
    </row>
    <row r="41" spans="1:31" x14ac:dyDescent="0.2">
      <c r="A41" s="6" t="s">
        <v>186</v>
      </c>
      <c r="B41" s="34">
        <v>1</v>
      </c>
      <c r="C41" s="34">
        <v>1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/>
      <c r="M41" s="34">
        <v>1</v>
      </c>
      <c r="N41" s="34">
        <v>2</v>
      </c>
      <c r="O41" s="34">
        <v>2</v>
      </c>
      <c r="P41" s="34">
        <v>2</v>
      </c>
      <c r="Q41" s="34">
        <v>2</v>
      </c>
      <c r="R41" s="34">
        <v>2</v>
      </c>
      <c r="S41" s="34">
        <v>2</v>
      </c>
      <c r="T41" s="34">
        <v>2</v>
      </c>
      <c r="U41" s="34">
        <v>2</v>
      </c>
      <c r="V41" s="34">
        <v>2</v>
      </c>
      <c r="W41" s="34">
        <v>2</v>
      </c>
      <c r="X41" s="34">
        <v>2</v>
      </c>
      <c r="Y41" s="34">
        <v>2</v>
      </c>
      <c r="Z41" s="34">
        <v>2</v>
      </c>
      <c r="AA41" s="34">
        <v>2</v>
      </c>
      <c r="AB41" s="34">
        <f>2</f>
        <v>2</v>
      </c>
      <c r="AC41" s="34">
        <v>2</v>
      </c>
      <c r="AD41" s="34">
        <f>2</f>
        <v>2</v>
      </c>
      <c r="AE41" s="34">
        <f>2</f>
        <v>2</v>
      </c>
    </row>
    <row r="42" spans="1:31" x14ac:dyDescent="0.2">
      <c r="A42" s="6" t="s">
        <v>187</v>
      </c>
      <c r="B42" s="34">
        <v>15438</v>
      </c>
      <c r="C42" s="34">
        <v>15438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/>
      <c r="M42" s="34">
        <v>15509</v>
      </c>
      <c r="N42" s="34">
        <v>15509</v>
      </c>
      <c r="O42" s="34">
        <v>15486</v>
      </c>
      <c r="P42" s="34">
        <v>15486</v>
      </c>
      <c r="Q42" s="34">
        <v>15486</v>
      </c>
      <c r="R42" s="34">
        <v>15486</v>
      </c>
      <c r="S42" s="34">
        <v>15486</v>
      </c>
      <c r="T42" s="34">
        <v>15486</v>
      </c>
      <c r="U42" s="34">
        <v>15486</v>
      </c>
      <c r="V42" s="34">
        <v>26489</v>
      </c>
      <c r="W42" s="34">
        <v>26367</v>
      </c>
      <c r="X42" s="34">
        <v>26367</v>
      </c>
      <c r="Y42" s="34">
        <v>26367</v>
      </c>
      <c r="Z42" s="34">
        <v>26367</v>
      </c>
      <c r="AA42" s="34">
        <v>26367</v>
      </c>
      <c r="AB42" s="34">
        <f>26367</f>
        <v>26367</v>
      </c>
      <c r="AC42" s="34">
        <v>26367</v>
      </c>
      <c r="AD42" s="34">
        <f>26367</f>
        <v>26367</v>
      </c>
      <c r="AE42" s="34">
        <f>26367</f>
        <v>26367</v>
      </c>
    </row>
    <row r="43" spans="1:31" x14ac:dyDescent="0.2">
      <c r="A43" s="6" t="s">
        <v>188</v>
      </c>
      <c r="B43" s="34"/>
      <c r="C43" s="34">
        <v>-459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/>
      <c r="M43" s="34">
        <v>-440</v>
      </c>
      <c r="N43" s="34">
        <v>-908</v>
      </c>
      <c r="O43" s="34">
        <v>-1606</v>
      </c>
      <c r="P43" s="34">
        <v>-1</v>
      </c>
      <c r="Q43" s="34">
        <v>-1</v>
      </c>
      <c r="R43" s="34">
        <v>-1</v>
      </c>
      <c r="S43" s="34">
        <v>-1</v>
      </c>
      <c r="T43" s="34">
        <v>-1</v>
      </c>
      <c r="U43" s="34">
        <v>-1</v>
      </c>
      <c r="V43" s="34">
        <v>-1</v>
      </c>
      <c r="W43" s="34">
        <v>-1</v>
      </c>
      <c r="X43" s="34">
        <v>-1</v>
      </c>
      <c r="Y43" s="34">
        <v>-1</v>
      </c>
      <c r="Z43" s="34">
        <v>-1</v>
      </c>
      <c r="AA43" s="34">
        <v>-1</v>
      </c>
      <c r="AB43" s="34">
        <v>-1</v>
      </c>
      <c r="AC43" s="34">
        <v>-1</v>
      </c>
      <c r="AD43" s="34">
        <f>-1</f>
        <v>-1</v>
      </c>
      <c r="AE43" s="34">
        <f>-1</f>
        <v>-1</v>
      </c>
    </row>
    <row r="44" spans="1:31" x14ac:dyDescent="0.2">
      <c r="A44" s="6" t="s">
        <v>189</v>
      </c>
      <c r="B44" s="34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/>
      <c r="M44" s="34">
        <v>0</v>
      </c>
      <c r="N44" s="34"/>
      <c r="O44" s="34">
        <v>221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f>0</f>
        <v>0</v>
      </c>
      <c r="AC44" s="103">
        <f>0</f>
        <v>0</v>
      </c>
      <c r="AD44" s="103">
        <f>0</f>
        <v>0</v>
      </c>
      <c r="AE44" s="103">
        <f>0</f>
        <v>0</v>
      </c>
    </row>
    <row r="45" spans="1:31" x14ac:dyDescent="0.2">
      <c r="A45" s="6" t="s">
        <v>190</v>
      </c>
      <c r="B45" s="34">
        <v>12880</v>
      </c>
      <c r="C45" s="34">
        <v>17704</v>
      </c>
      <c r="D45" s="34">
        <v>20009</v>
      </c>
      <c r="E45" s="34">
        <v>22688</v>
      </c>
      <c r="F45" s="34">
        <v>25771</v>
      </c>
      <c r="G45" s="34">
        <v>29332</v>
      </c>
      <c r="H45" s="34">
        <v>30259</v>
      </c>
      <c r="I45" s="34">
        <v>36537</v>
      </c>
      <c r="J45" s="34">
        <v>37011</v>
      </c>
      <c r="K45" s="34">
        <v>39697</v>
      </c>
      <c r="L45" s="34">
        <v>40068</v>
      </c>
      <c r="M45" s="34">
        <v>43052</v>
      </c>
      <c r="N45" s="34">
        <v>44263</v>
      </c>
      <c r="O45" s="34">
        <v>48702</v>
      </c>
      <c r="P45" s="34">
        <v>43428</v>
      </c>
      <c r="Q45" s="34">
        <v>39802</v>
      </c>
      <c r="R45" s="34">
        <v>41848</v>
      </c>
      <c r="S45" s="34">
        <v>37089</v>
      </c>
      <c r="T45" s="34">
        <v>35317</v>
      </c>
      <c r="U45" s="34">
        <v>35586</v>
      </c>
      <c r="V45" s="34">
        <v>36881</v>
      </c>
      <c r="W45" s="34">
        <v>34992</v>
      </c>
      <c r="X45" s="34">
        <v>46655</v>
      </c>
      <c r="Y45" s="34">
        <v>47821</v>
      </c>
      <c r="Z45" s="34">
        <v>45779</v>
      </c>
      <c r="AA45" s="34">
        <v>44523</v>
      </c>
      <c r="AB45" s="34">
        <f>43026</f>
        <v>43026</v>
      </c>
      <c r="AC45" s="34">
        <f>37609</f>
        <v>37609</v>
      </c>
      <c r="AD45" s="34">
        <f>28669</f>
        <v>28669</v>
      </c>
      <c r="AE45" s="34">
        <v>2177</v>
      </c>
    </row>
    <row r="46" spans="1:31" x14ac:dyDescent="0.2">
      <c r="A46" s="6" t="s">
        <v>191</v>
      </c>
      <c r="B46" s="34">
        <v>28319</v>
      </c>
      <c r="C46" s="34">
        <v>32684</v>
      </c>
      <c r="D46" s="34">
        <v>34976</v>
      </c>
      <c r="E46" s="34">
        <v>37655</v>
      </c>
      <c r="F46" s="34">
        <v>40738</v>
      </c>
      <c r="G46" s="34">
        <v>44299</v>
      </c>
      <c r="H46" s="34">
        <v>45242</v>
      </c>
      <c r="I46" s="34">
        <v>51520</v>
      </c>
      <c r="J46" s="34">
        <v>51994</v>
      </c>
      <c r="K46" s="34">
        <v>54696</v>
      </c>
      <c r="L46" s="34">
        <v>55067</v>
      </c>
      <c r="M46" s="34">
        <v>58122</v>
      </c>
      <c r="N46" s="34">
        <v>58866</v>
      </c>
      <c r="O46" s="34">
        <v>62805</v>
      </c>
      <c r="P46" s="34">
        <v>58915</v>
      </c>
      <c r="Q46" s="34">
        <v>55289</v>
      </c>
      <c r="R46" s="34">
        <v>57335</v>
      </c>
      <c r="S46" s="34">
        <v>52576</v>
      </c>
      <c r="T46" s="34">
        <v>50804</v>
      </c>
      <c r="U46" s="34">
        <v>51073</v>
      </c>
      <c r="V46" s="34">
        <v>63371</v>
      </c>
      <c r="W46" s="34">
        <v>61360</v>
      </c>
      <c r="X46" s="34">
        <v>73023</v>
      </c>
      <c r="Y46" s="34">
        <v>74189</v>
      </c>
      <c r="Z46" s="34">
        <v>72147</v>
      </c>
      <c r="AA46" s="34">
        <v>70891</v>
      </c>
      <c r="AB46" s="34">
        <f>69394</f>
        <v>69394</v>
      </c>
      <c r="AC46" s="34">
        <f>63977</f>
        <v>63977</v>
      </c>
      <c r="AD46" s="34">
        <f>55037</f>
        <v>55037</v>
      </c>
      <c r="AE46" s="34">
        <v>28545</v>
      </c>
    </row>
    <row r="47" spans="1:31" x14ac:dyDescent="0.2">
      <c r="A47" s="6" t="s">
        <v>146</v>
      </c>
      <c r="B47" s="34">
        <v>487</v>
      </c>
      <c r="C47" s="34">
        <v>372</v>
      </c>
      <c r="D47" s="34">
        <v>436</v>
      </c>
      <c r="E47" s="34">
        <v>408</v>
      </c>
      <c r="F47" s="34">
        <v>394</v>
      </c>
      <c r="G47" s="34">
        <v>387</v>
      </c>
      <c r="H47" s="34">
        <v>387</v>
      </c>
      <c r="I47" s="34">
        <v>351</v>
      </c>
      <c r="J47" s="34">
        <v>170</v>
      </c>
      <c r="K47" s="34">
        <v>147</v>
      </c>
      <c r="L47" s="34">
        <v>83</v>
      </c>
      <c r="M47" s="34">
        <v>28</v>
      </c>
      <c r="N47" s="34">
        <v>0</v>
      </c>
      <c r="O47" s="34">
        <v>0</v>
      </c>
      <c r="P47" s="34">
        <v>1</v>
      </c>
      <c r="Q47" s="34">
        <v>2</v>
      </c>
      <c r="R47" s="34">
        <v>15079</v>
      </c>
      <c r="S47" s="34">
        <v>0</v>
      </c>
      <c r="T47" s="34">
        <v>1</v>
      </c>
      <c r="U47" s="34">
        <v>0</v>
      </c>
      <c r="V47" s="34">
        <v>0</v>
      </c>
      <c r="W47" s="34">
        <v>0</v>
      </c>
      <c r="X47" s="34">
        <v>204</v>
      </c>
      <c r="Y47" s="34"/>
      <c r="Z47" s="34"/>
      <c r="AA47" s="34"/>
      <c r="AB47" s="34">
        <f>808</f>
        <v>808</v>
      </c>
      <c r="AC47" s="34">
        <f>808</f>
        <v>808</v>
      </c>
      <c r="AD47" s="34">
        <f>808</f>
        <v>808</v>
      </c>
      <c r="AE47" s="34">
        <f>893</f>
        <v>893</v>
      </c>
    </row>
    <row r="48" spans="1:31" x14ac:dyDescent="0.2">
      <c r="A48" s="37" t="s">
        <v>192</v>
      </c>
      <c r="B48" s="78">
        <v>28806</v>
      </c>
      <c r="C48" s="78">
        <v>33056</v>
      </c>
      <c r="D48" s="78">
        <v>35412</v>
      </c>
      <c r="E48" s="78">
        <v>38063</v>
      </c>
      <c r="F48" s="78">
        <v>41132</v>
      </c>
      <c r="G48" s="78">
        <v>44686</v>
      </c>
      <c r="H48" s="78">
        <v>45629</v>
      </c>
      <c r="I48" s="78">
        <v>51871</v>
      </c>
      <c r="J48" s="78">
        <v>52164</v>
      </c>
      <c r="K48" s="78">
        <v>54843</v>
      </c>
      <c r="L48" s="78">
        <v>55150</v>
      </c>
      <c r="M48" s="78">
        <v>58150</v>
      </c>
      <c r="N48" s="78">
        <v>58866</v>
      </c>
      <c r="O48" s="78">
        <v>62805</v>
      </c>
      <c r="P48" s="78">
        <v>58916</v>
      </c>
      <c r="Q48" s="78">
        <v>55291</v>
      </c>
      <c r="R48" s="78">
        <v>72414</v>
      </c>
      <c r="S48" s="78">
        <v>52576</v>
      </c>
      <c r="T48" s="78">
        <v>50805</v>
      </c>
      <c r="U48" s="78">
        <v>51073</v>
      </c>
      <c r="V48" s="78">
        <v>63371</v>
      </c>
      <c r="W48" s="78">
        <v>61360</v>
      </c>
      <c r="X48" s="78">
        <v>73227</v>
      </c>
      <c r="Y48" s="78">
        <v>74189</v>
      </c>
      <c r="Z48" s="78">
        <v>72147</v>
      </c>
      <c r="AA48" s="78">
        <v>70891</v>
      </c>
      <c r="AB48" s="78">
        <f>70202</f>
        <v>70202</v>
      </c>
      <c r="AC48" s="78">
        <f>SUM(AC46:AC47)</f>
        <v>64785</v>
      </c>
      <c r="AD48" s="78">
        <f>SUM(AD46:AD47)</f>
        <v>55845</v>
      </c>
      <c r="AE48" s="78">
        <f>SUM(AE46:AE47)</f>
        <v>29438</v>
      </c>
    </row>
    <row r="49" spans="1:31" x14ac:dyDescent="0.2">
      <c r="A49" s="3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AB49" s="6"/>
      <c r="AE49" s="6"/>
    </row>
    <row r="50" spans="1:31" x14ac:dyDescent="0.2">
      <c r="A50" s="44" t="s">
        <v>193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AB50" s="6"/>
      <c r="AE50" s="6"/>
    </row>
    <row r="51" spans="1:31" x14ac:dyDescent="0.2">
      <c r="A51" s="6" t="s">
        <v>194</v>
      </c>
      <c r="B51" s="34">
        <v>7658</v>
      </c>
      <c r="C51" s="34">
        <v>8456</v>
      </c>
      <c r="D51" s="34">
        <v>7466</v>
      </c>
      <c r="E51" s="34">
        <v>12811</v>
      </c>
      <c r="F51" s="34">
        <v>10750</v>
      </c>
      <c r="G51" s="34">
        <v>10176</v>
      </c>
      <c r="H51" s="34">
        <v>10050</v>
      </c>
      <c r="I51" s="34">
        <v>12411</v>
      </c>
      <c r="J51" s="34">
        <v>13375</v>
      </c>
      <c r="K51" s="34">
        <v>13138</v>
      </c>
      <c r="L51" s="34">
        <v>12950</v>
      </c>
      <c r="M51" s="34">
        <v>12415</v>
      </c>
      <c r="N51" s="34">
        <v>14973</v>
      </c>
      <c r="O51" s="34">
        <v>21418</v>
      </c>
      <c r="P51" s="34">
        <v>20673</v>
      </c>
      <c r="Q51" s="34">
        <v>17559</v>
      </c>
      <c r="R51" s="34">
        <v>33422</v>
      </c>
      <c r="S51" s="34">
        <v>42258</v>
      </c>
      <c r="T51" s="34">
        <v>33623</v>
      </c>
      <c r="U51" s="34">
        <v>34636</v>
      </c>
      <c r="V51" s="34">
        <v>50322</v>
      </c>
      <c r="W51" s="34">
        <v>67132</v>
      </c>
      <c r="X51" s="34">
        <v>75626</v>
      </c>
      <c r="Y51" s="34">
        <v>73970</v>
      </c>
      <c r="Z51" s="34">
        <v>81818</v>
      </c>
      <c r="AA51" s="34">
        <v>82112</v>
      </c>
      <c r="AB51" s="34">
        <f>122062</f>
        <v>122062</v>
      </c>
      <c r="AC51" s="34">
        <f>131773</f>
        <v>131773</v>
      </c>
      <c r="AD51" s="34">
        <f>147056</f>
        <v>147056</v>
      </c>
      <c r="AE51" s="34">
        <f>136898</f>
        <v>136898</v>
      </c>
    </row>
    <row r="52" spans="1:31" x14ac:dyDescent="0.2">
      <c r="A52" s="6" t="s">
        <v>195</v>
      </c>
      <c r="B52" s="34">
        <v>129</v>
      </c>
      <c r="C52" s="34">
        <v>48</v>
      </c>
      <c r="D52" s="34">
        <v>30</v>
      </c>
      <c r="E52" s="34">
        <v>980</v>
      </c>
      <c r="F52" s="34">
        <v>1041</v>
      </c>
      <c r="G52" s="34">
        <v>785</v>
      </c>
      <c r="H52" s="34">
        <v>678</v>
      </c>
      <c r="I52" s="34">
        <v>2854</v>
      </c>
      <c r="J52" s="34">
        <v>4024</v>
      </c>
      <c r="K52" s="34">
        <v>923</v>
      </c>
      <c r="L52" s="34">
        <v>610</v>
      </c>
      <c r="M52" s="34">
        <v>859</v>
      </c>
      <c r="N52" s="34">
        <v>3270</v>
      </c>
      <c r="O52" s="34">
        <v>2546</v>
      </c>
      <c r="P52" s="34">
        <v>2154</v>
      </c>
      <c r="Q52" s="34">
        <v>1995</v>
      </c>
      <c r="R52" s="34">
        <v>2868</v>
      </c>
      <c r="S52" s="34">
        <v>3227</v>
      </c>
      <c r="T52" s="34">
        <v>1411</v>
      </c>
      <c r="U52" s="34">
        <v>26734</v>
      </c>
      <c r="V52" s="34">
        <v>28044</v>
      </c>
      <c r="W52" s="34">
        <v>31230</v>
      </c>
      <c r="X52" s="34">
        <v>23733</v>
      </c>
      <c r="Y52" s="34">
        <v>22978</v>
      </c>
      <c r="Z52" s="34">
        <v>9770</v>
      </c>
      <c r="AA52" s="34">
        <v>8957</v>
      </c>
      <c r="AB52" s="34">
        <f>6573</f>
        <v>6573</v>
      </c>
      <c r="AC52" s="34">
        <f>SUM(AC53:AC54)</f>
        <v>11611</v>
      </c>
      <c r="AD52" s="34">
        <f>SUM(AD53:AD54)</f>
        <v>5807</v>
      </c>
      <c r="AE52" s="34">
        <v>7129</v>
      </c>
    </row>
    <row r="53" spans="1:31" x14ac:dyDescent="0.2">
      <c r="A53" s="102" t="s">
        <v>196</v>
      </c>
      <c r="B53" s="34">
        <v>129</v>
      </c>
      <c r="C53" s="34">
        <v>48</v>
      </c>
      <c r="D53" s="34">
        <v>30</v>
      </c>
      <c r="E53" s="34">
        <v>980</v>
      </c>
      <c r="F53" s="34">
        <v>1041</v>
      </c>
      <c r="G53" s="34">
        <v>785</v>
      </c>
      <c r="H53" s="34">
        <v>678</v>
      </c>
      <c r="I53" s="34">
        <v>2854</v>
      </c>
      <c r="J53" s="34">
        <v>4024</v>
      </c>
      <c r="K53" s="34">
        <v>923</v>
      </c>
      <c r="L53" s="34">
        <v>610</v>
      </c>
      <c r="M53" s="34">
        <v>859</v>
      </c>
      <c r="N53" s="34">
        <v>3270</v>
      </c>
      <c r="O53" s="34">
        <v>2546</v>
      </c>
      <c r="P53" s="34">
        <v>2154</v>
      </c>
      <c r="Q53" s="34">
        <v>1777</v>
      </c>
      <c r="R53" s="34">
        <v>2867</v>
      </c>
      <c r="S53" s="34">
        <v>3227</v>
      </c>
      <c r="T53" s="34">
        <v>1411</v>
      </c>
      <c r="U53" s="34">
        <v>26734</v>
      </c>
      <c r="V53" s="34">
        <v>28044</v>
      </c>
      <c r="W53" s="34">
        <v>31230</v>
      </c>
      <c r="X53" s="34">
        <f>X52</f>
        <v>23733</v>
      </c>
      <c r="Y53" s="34">
        <v>22978</v>
      </c>
      <c r="Z53" s="34">
        <v>9770</v>
      </c>
      <c r="AA53" s="34">
        <v>8957</v>
      </c>
      <c r="AB53" s="34">
        <f>6573</f>
        <v>6573</v>
      </c>
      <c r="AC53" s="34">
        <f>11611</f>
        <v>11611</v>
      </c>
      <c r="AD53" s="34">
        <f>5807</f>
        <v>5807</v>
      </c>
      <c r="AE53" s="34">
        <v>7129</v>
      </c>
    </row>
    <row r="54" spans="1:31" x14ac:dyDescent="0.2">
      <c r="A54" s="102" t="s">
        <v>197</v>
      </c>
      <c r="B54" s="34"/>
      <c r="C54" s="34">
        <v>0</v>
      </c>
      <c r="D54" s="34"/>
      <c r="E54" s="34">
        <v>0</v>
      </c>
      <c r="F54" s="34"/>
      <c r="G54" s="34">
        <v>0</v>
      </c>
      <c r="H54" s="34"/>
      <c r="I54" s="34">
        <v>0</v>
      </c>
      <c r="J54" s="34"/>
      <c r="K54" s="34">
        <v>0</v>
      </c>
      <c r="L54" s="34"/>
      <c r="M54" s="34">
        <v>0</v>
      </c>
      <c r="N54" s="34"/>
      <c r="O54" s="34">
        <v>0</v>
      </c>
      <c r="P54" s="34"/>
      <c r="Q54" s="34">
        <v>218</v>
      </c>
      <c r="R54" s="34">
        <v>1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/>
      <c r="Y54" s="34"/>
      <c r="Z54" s="34"/>
      <c r="AA54" s="34"/>
      <c r="AB54" s="34"/>
      <c r="AC54" s="34"/>
      <c r="AD54" s="34"/>
      <c r="AE54" s="34"/>
    </row>
    <row r="55" spans="1:31" x14ac:dyDescent="0.2">
      <c r="A55" s="6" t="s">
        <v>198</v>
      </c>
      <c r="B55" s="34">
        <v>75</v>
      </c>
      <c r="C55" s="34">
        <v>77</v>
      </c>
      <c r="D55" s="34">
        <v>61</v>
      </c>
      <c r="E55" s="34">
        <v>65</v>
      </c>
      <c r="F55" s="34">
        <v>61</v>
      </c>
      <c r="G55" s="34">
        <v>89</v>
      </c>
      <c r="H55" s="34">
        <v>91</v>
      </c>
      <c r="I55" s="34">
        <v>114</v>
      </c>
      <c r="J55" s="34">
        <v>112</v>
      </c>
      <c r="K55" s="34">
        <v>117</v>
      </c>
      <c r="L55" s="34">
        <v>109</v>
      </c>
      <c r="M55" s="34">
        <v>107</v>
      </c>
      <c r="N55" s="34">
        <v>99</v>
      </c>
      <c r="O55" s="34">
        <v>102</v>
      </c>
      <c r="P55" s="34">
        <v>85</v>
      </c>
      <c r="Q55" s="34">
        <v>121</v>
      </c>
      <c r="R55" s="34">
        <v>136</v>
      </c>
      <c r="S55" s="34">
        <v>116</v>
      </c>
      <c r="T55" s="34">
        <v>183</v>
      </c>
      <c r="U55" s="34">
        <v>129</v>
      </c>
      <c r="V55" s="34">
        <v>111</v>
      </c>
      <c r="W55" s="34">
        <v>117</v>
      </c>
      <c r="X55" s="34">
        <v>418</v>
      </c>
      <c r="Y55" s="34">
        <v>406</v>
      </c>
      <c r="Z55" s="34">
        <v>396</v>
      </c>
      <c r="AA55" s="34">
        <v>366</v>
      </c>
      <c r="AB55" s="34">
        <f>347</f>
        <v>347</v>
      </c>
      <c r="AC55" s="34">
        <f>208</f>
        <v>208</v>
      </c>
      <c r="AD55" s="34">
        <f>179</f>
        <v>179</v>
      </c>
      <c r="AE55" s="34">
        <f>190</f>
        <v>190</v>
      </c>
    </row>
    <row r="56" spans="1:31" x14ac:dyDescent="0.2">
      <c r="A56" s="6" t="s">
        <v>308</v>
      </c>
      <c r="B56" s="34">
        <f>0</f>
        <v>0</v>
      </c>
      <c r="C56" s="34">
        <f>0</f>
        <v>0</v>
      </c>
      <c r="D56" s="34">
        <f>0</f>
        <v>0</v>
      </c>
      <c r="E56" s="34">
        <f>0</f>
        <v>0</v>
      </c>
      <c r="F56" s="34">
        <f>0</f>
        <v>0</v>
      </c>
      <c r="G56" s="34">
        <f>0</f>
        <v>0</v>
      </c>
      <c r="H56" s="34">
        <f>0</f>
        <v>0</v>
      </c>
      <c r="I56" s="34">
        <f>0</f>
        <v>0</v>
      </c>
      <c r="J56" s="34">
        <f>0</f>
        <v>0</v>
      </c>
      <c r="K56" s="34">
        <f>0</f>
        <v>0</v>
      </c>
      <c r="L56" s="34">
        <f>0</f>
        <v>0</v>
      </c>
      <c r="M56" s="34">
        <f>0</f>
        <v>0</v>
      </c>
      <c r="N56" s="34">
        <f>0</f>
        <v>0</v>
      </c>
      <c r="O56" s="34">
        <f>0</f>
        <v>0</v>
      </c>
      <c r="P56" s="34">
        <f>0</f>
        <v>0</v>
      </c>
      <c r="Q56" s="34">
        <f>0</f>
        <v>0</v>
      </c>
      <c r="R56" s="34">
        <f>0</f>
        <v>0</v>
      </c>
      <c r="S56" s="34">
        <f>0</f>
        <v>0</v>
      </c>
      <c r="T56" s="34">
        <f>0</f>
        <v>0</v>
      </c>
      <c r="U56" s="34">
        <f>0</f>
        <v>0</v>
      </c>
      <c r="V56" s="34">
        <f>0</f>
        <v>0</v>
      </c>
      <c r="W56" s="34">
        <f>0</f>
        <v>0</v>
      </c>
      <c r="X56" s="34">
        <f>0</f>
        <v>0</v>
      </c>
      <c r="Y56" s="34">
        <f>0</f>
        <v>0</v>
      </c>
      <c r="Z56" s="34">
        <f>0</f>
        <v>0</v>
      </c>
      <c r="AA56" s="34">
        <f>0</f>
        <v>0</v>
      </c>
      <c r="AB56" s="34">
        <f>0</f>
        <v>0</v>
      </c>
      <c r="AC56" s="34">
        <f>7497</f>
        <v>7497</v>
      </c>
      <c r="AD56" s="34">
        <f>12172</f>
        <v>12172</v>
      </c>
      <c r="AE56" s="34">
        <f>18063</f>
        <v>18063</v>
      </c>
    </row>
    <row r="57" spans="1:31" x14ac:dyDescent="0.2">
      <c r="A57" s="6" t="s">
        <v>199</v>
      </c>
      <c r="B57" s="34">
        <v>19</v>
      </c>
      <c r="C57" s="34">
        <v>98</v>
      </c>
      <c r="D57" s="34">
        <v>272</v>
      </c>
      <c r="E57" s="34">
        <v>226</v>
      </c>
      <c r="F57" s="34">
        <v>402</v>
      </c>
      <c r="G57" s="34">
        <v>826</v>
      </c>
      <c r="H57" s="34">
        <v>650</v>
      </c>
      <c r="I57" s="34">
        <v>1456</v>
      </c>
      <c r="J57" s="34">
        <v>1249</v>
      </c>
      <c r="K57" s="34">
        <v>1810</v>
      </c>
      <c r="L57" s="34">
        <v>1096</v>
      </c>
      <c r="M57" s="34">
        <v>1557</v>
      </c>
      <c r="N57" s="34">
        <v>1173</v>
      </c>
      <c r="O57" s="34">
        <v>2941</v>
      </c>
      <c r="P57" s="34">
        <v>2428</v>
      </c>
      <c r="Q57" s="34">
        <v>1599</v>
      </c>
      <c r="R57" s="34">
        <v>6551</v>
      </c>
      <c r="S57" s="34">
        <v>6463</v>
      </c>
      <c r="T57" s="34">
        <v>7342</v>
      </c>
      <c r="U57" s="34">
        <v>7930</v>
      </c>
      <c r="V57" s="34">
        <v>8376</v>
      </c>
      <c r="W57" s="34">
        <v>7428</v>
      </c>
      <c r="X57" s="34">
        <v>7745</v>
      </c>
      <c r="Y57" s="34">
        <v>7513</v>
      </c>
      <c r="Z57" s="34">
        <v>6695</v>
      </c>
      <c r="AA57" s="34">
        <v>3578</v>
      </c>
      <c r="AB57" s="34">
        <f>4592</f>
        <v>4592</v>
      </c>
      <c r="AC57" s="34">
        <f>6997</f>
        <v>6997</v>
      </c>
      <c r="AD57" s="34">
        <f>8356</f>
        <v>8356</v>
      </c>
      <c r="AE57" s="34">
        <f>8052</f>
        <v>8052</v>
      </c>
    </row>
    <row r="58" spans="1:31" x14ac:dyDescent="0.2">
      <c r="A58" s="37" t="s">
        <v>200</v>
      </c>
      <c r="B58" s="78">
        <v>7881</v>
      </c>
      <c r="C58" s="78">
        <v>8679</v>
      </c>
      <c r="D58" s="78">
        <v>7829</v>
      </c>
      <c r="E58" s="78">
        <v>14082</v>
      </c>
      <c r="F58" s="78">
        <v>12254</v>
      </c>
      <c r="G58" s="78">
        <v>11876</v>
      </c>
      <c r="H58" s="78">
        <v>11469</v>
      </c>
      <c r="I58" s="78">
        <v>16835</v>
      </c>
      <c r="J58" s="78">
        <v>18760</v>
      </c>
      <c r="K58" s="78">
        <v>15988</v>
      </c>
      <c r="L58" s="78">
        <v>14765</v>
      </c>
      <c r="M58" s="78">
        <v>14938</v>
      </c>
      <c r="N58" s="78">
        <v>19515</v>
      </c>
      <c r="O58" s="78">
        <v>27007</v>
      </c>
      <c r="P58" s="78">
        <v>25340</v>
      </c>
      <c r="Q58" s="78">
        <v>21274</v>
      </c>
      <c r="R58" s="78">
        <v>42977</v>
      </c>
      <c r="S58" s="78">
        <v>52064</v>
      </c>
      <c r="T58" s="78">
        <v>42559</v>
      </c>
      <c r="U58" s="78">
        <v>69429</v>
      </c>
      <c r="V58" s="78">
        <v>86853</v>
      </c>
      <c r="W58" s="78">
        <v>105907</v>
      </c>
      <c r="X58" s="78">
        <v>107522</v>
      </c>
      <c r="Y58" s="78">
        <v>104867</v>
      </c>
      <c r="Z58" s="78">
        <v>98679</v>
      </c>
      <c r="AA58" s="78">
        <v>95013</v>
      </c>
      <c r="AB58" s="78">
        <f>133574</f>
        <v>133574</v>
      </c>
      <c r="AC58" s="78">
        <f>SUM(AC51:AC52,AC55:AC57)</f>
        <v>158086</v>
      </c>
      <c r="AD58" s="78">
        <f>SUM(AD51:AD52,AD55:AD57)</f>
        <v>173570</v>
      </c>
      <c r="AE58" s="78">
        <f>SUM(AE51:AE52,AE55:AE57)</f>
        <v>170332</v>
      </c>
    </row>
    <row r="59" spans="1:31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AB59" s="6"/>
      <c r="AE59" s="6"/>
    </row>
    <row r="60" spans="1:31" x14ac:dyDescent="0.2">
      <c r="A60" s="44" t="s">
        <v>201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AB60" s="6"/>
      <c r="AE60" s="6"/>
    </row>
    <row r="61" spans="1:31" x14ac:dyDescent="0.2">
      <c r="A61" s="6" t="s">
        <v>194</v>
      </c>
      <c r="B61" s="34">
        <v>1632</v>
      </c>
      <c r="C61" s="34">
        <v>1950</v>
      </c>
      <c r="D61" s="34">
        <v>3375</v>
      </c>
      <c r="E61" s="34">
        <v>3825</v>
      </c>
      <c r="F61" s="34">
        <v>2359</v>
      </c>
      <c r="G61" s="34">
        <v>3043</v>
      </c>
      <c r="H61" s="34">
        <v>4689</v>
      </c>
      <c r="I61" s="34">
        <v>3880</v>
      </c>
      <c r="J61" s="34">
        <v>5141</v>
      </c>
      <c r="K61" s="34">
        <v>6276</v>
      </c>
      <c r="L61" s="34">
        <v>8720</v>
      </c>
      <c r="M61" s="34">
        <v>5639</v>
      </c>
      <c r="N61" s="34">
        <v>4051</v>
      </c>
      <c r="O61" s="34">
        <v>2569</v>
      </c>
      <c r="P61" s="34">
        <v>2133</v>
      </c>
      <c r="Q61" s="34">
        <v>3353</v>
      </c>
      <c r="R61" s="34">
        <v>7229</v>
      </c>
      <c r="S61" s="34">
        <v>10434</v>
      </c>
      <c r="T61" s="34">
        <v>15161</v>
      </c>
      <c r="U61" s="34">
        <v>15869</v>
      </c>
      <c r="V61" s="34">
        <v>9985</v>
      </c>
      <c r="W61" s="34">
        <v>16306</v>
      </c>
      <c r="X61" s="34">
        <v>20968</v>
      </c>
      <c r="Y61" s="34">
        <v>19118</v>
      </c>
      <c r="Z61" s="34">
        <v>17349</v>
      </c>
      <c r="AA61" s="34">
        <v>36499</v>
      </c>
      <c r="AB61" s="34">
        <v>20181</v>
      </c>
      <c r="AC61" s="34">
        <f>44820</f>
        <v>44820</v>
      </c>
      <c r="AD61" s="34">
        <f>58199</f>
        <v>58199</v>
      </c>
      <c r="AE61" s="34">
        <f>85593</f>
        <v>85593</v>
      </c>
    </row>
    <row r="62" spans="1:31" x14ac:dyDescent="0.2">
      <c r="A62" s="6" t="s">
        <v>195</v>
      </c>
      <c r="B62" s="34">
        <v>13487</v>
      </c>
      <c r="C62" s="34">
        <v>13539</v>
      </c>
      <c r="D62" s="34">
        <v>14570</v>
      </c>
      <c r="E62" s="34">
        <v>16966</v>
      </c>
      <c r="F62" s="34">
        <v>18399</v>
      </c>
      <c r="G62" s="34">
        <v>22300</v>
      </c>
      <c r="H62" s="34">
        <v>32436</v>
      </c>
      <c r="I62" s="34">
        <v>21460</v>
      </c>
      <c r="J62" s="34">
        <v>18451</v>
      </c>
      <c r="K62" s="34">
        <v>25630</v>
      </c>
      <c r="L62" s="34">
        <v>34375</v>
      </c>
      <c r="M62" s="34">
        <v>33666</v>
      </c>
      <c r="N62" s="34">
        <v>41773</v>
      </c>
      <c r="O62" s="34">
        <v>40569</v>
      </c>
      <c r="P62" s="34">
        <v>50512</v>
      </c>
      <c r="Q62" s="34">
        <v>43658</v>
      </c>
      <c r="R62" s="34">
        <v>60520</v>
      </c>
      <c r="S62" s="34">
        <v>55581</v>
      </c>
      <c r="T62" s="34">
        <v>53142</v>
      </c>
      <c r="U62" s="34">
        <v>49750</v>
      </c>
      <c r="V62" s="34">
        <v>42788</v>
      </c>
      <c r="W62" s="34">
        <v>38007</v>
      </c>
      <c r="X62" s="34">
        <v>52835</v>
      </c>
      <c r="Y62" s="34">
        <f t="shared" ref="Y62:AD62" si="4">Y63+Y64</f>
        <v>40572</v>
      </c>
      <c r="Z62" s="34">
        <f t="shared" si="4"/>
        <v>53440</v>
      </c>
      <c r="AA62" s="34">
        <f t="shared" si="4"/>
        <v>48765</v>
      </c>
      <c r="AB62" s="34">
        <f t="shared" si="4"/>
        <v>41806</v>
      </c>
      <c r="AC62" s="34">
        <f t="shared" si="4"/>
        <v>42935</v>
      </c>
      <c r="AD62" s="34">
        <f t="shared" si="4"/>
        <v>46299</v>
      </c>
      <c r="AE62" s="34">
        <f>AE63+AE64</f>
        <v>59721</v>
      </c>
    </row>
    <row r="63" spans="1:31" x14ac:dyDescent="0.2">
      <c r="A63" s="102" t="s">
        <v>202</v>
      </c>
      <c r="B63" s="101">
        <v>13487</v>
      </c>
      <c r="C63" s="101">
        <v>13539</v>
      </c>
      <c r="D63" s="101">
        <v>14570</v>
      </c>
      <c r="E63" s="101">
        <v>16966</v>
      </c>
      <c r="F63" s="101">
        <v>18399</v>
      </c>
      <c r="G63" s="101">
        <v>22300</v>
      </c>
      <c r="H63" s="101">
        <v>32436</v>
      </c>
      <c r="I63" s="101">
        <v>21460</v>
      </c>
      <c r="J63" s="101">
        <v>18451</v>
      </c>
      <c r="K63" s="101">
        <v>25630</v>
      </c>
      <c r="L63" s="101">
        <v>34375</v>
      </c>
      <c r="M63" s="101">
        <v>33666</v>
      </c>
      <c r="N63" s="101">
        <v>41773</v>
      </c>
      <c r="O63" s="101">
        <v>14920</v>
      </c>
      <c r="P63" s="101">
        <v>16371</v>
      </c>
      <c r="Q63" s="101">
        <v>16727</v>
      </c>
      <c r="R63" s="101">
        <v>19918</v>
      </c>
      <c r="S63" s="101">
        <v>19142</v>
      </c>
      <c r="T63" s="101">
        <v>19913</v>
      </c>
      <c r="U63" s="101">
        <v>21216</v>
      </c>
      <c r="V63" s="101">
        <v>20703</v>
      </c>
      <c r="W63" s="101">
        <v>23692</v>
      </c>
      <c r="X63" s="101">
        <v>36013</v>
      </c>
      <c r="Y63" s="101">
        <v>28527</v>
      </c>
      <c r="Z63" s="101">
        <f>39877</f>
        <v>39877</v>
      </c>
      <c r="AA63" s="101">
        <f>40168</f>
        <v>40168</v>
      </c>
      <c r="AB63" s="101">
        <f>29673</f>
        <v>29673</v>
      </c>
      <c r="AC63" s="101">
        <f>29489</f>
        <v>29489</v>
      </c>
      <c r="AD63" s="101">
        <f>31884</f>
        <v>31884</v>
      </c>
      <c r="AE63" s="101">
        <f>49459</f>
        <v>49459</v>
      </c>
    </row>
    <row r="64" spans="1:31" x14ac:dyDescent="0.2">
      <c r="A64" s="102" t="s">
        <v>197</v>
      </c>
      <c r="B64" s="101"/>
      <c r="C64" s="101">
        <v>0</v>
      </c>
      <c r="D64" s="101"/>
      <c r="E64" s="101">
        <v>0</v>
      </c>
      <c r="F64" s="101"/>
      <c r="G64" s="101">
        <v>0</v>
      </c>
      <c r="H64" s="101"/>
      <c r="I64" s="101">
        <v>0</v>
      </c>
      <c r="J64" s="101"/>
      <c r="K64" s="101">
        <v>0</v>
      </c>
      <c r="L64" s="101"/>
      <c r="M64" s="101">
        <v>0</v>
      </c>
      <c r="N64" s="101"/>
      <c r="O64" s="101">
        <v>25649</v>
      </c>
      <c r="P64" s="101">
        <v>34141</v>
      </c>
      <c r="Q64" s="101">
        <v>26931</v>
      </c>
      <c r="R64" s="101">
        <v>40602</v>
      </c>
      <c r="S64" s="101">
        <v>36439</v>
      </c>
      <c r="T64" s="101">
        <v>33229</v>
      </c>
      <c r="U64" s="101">
        <v>28351</v>
      </c>
      <c r="V64" s="101">
        <v>22085</v>
      </c>
      <c r="W64" s="101">
        <v>14157</v>
      </c>
      <c r="X64" s="101">
        <v>14948</v>
      </c>
      <c r="Y64" s="101">
        <v>12045</v>
      </c>
      <c r="Z64" s="101">
        <v>13563</v>
      </c>
      <c r="AA64" s="101">
        <f>8597</f>
        <v>8597</v>
      </c>
      <c r="AB64" s="101">
        <f>12133</f>
        <v>12133</v>
      </c>
      <c r="AC64" s="101">
        <f>13446</f>
        <v>13446</v>
      </c>
      <c r="AD64" s="101">
        <f>14415</f>
        <v>14415</v>
      </c>
      <c r="AE64" s="101">
        <f>10262</f>
        <v>10262</v>
      </c>
    </row>
    <row r="65" spans="1:31" x14ac:dyDescent="0.2">
      <c r="A65" s="6" t="s">
        <v>198</v>
      </c>
      <c r="B65" s="34">
        <v>1045</v>
      </c>
      <c r="C65" s="34">
        <v>1560</v>
      </c>
      <c r="D65" s="34">
        <v>1166</v>
      </c>
      <c r="E65" s="34">
        <v>580</v>
      </c>
      <c r="F65" s="34">
        <v>267</v>
      </c>
      <c r="G65" s="34">
        <v>1665</v>
      </c>
      <c r="H65" s="34">
        <v>1339</v>
      </c>
      <c r="I65" s="34">
        <v>2234</v>
      </c>
      <c r="J65" s="34">
        <v>1636</v>
      </c>
      <c r="K65" s="34">
        <v>3546</v>
      </c>
      <c r="L65" s="34">
        <v>1860</v>
      </c>
      <c r="M65" s="34">
        <v>1748</v>
      </c>
      <c r="N65" s="34">
        <v>1494</v>
      </c>
      <c r="O65" s="34">
        <v>1863</v>
      </c>
      <c r="P65" s="34">
        <v>1226</v>
      </c>
      <c r="Q65" s="34">
        <v>961</v>
      </c>
      <c r="R65" s="34">
        <v>677</v>
      </c>
      <c r="S65" s="34">
        <v>689</v>
      </c>
      <c r="T65" s="34">
        <v>622</v>
      </c>
      <c r="U65" s="34">
        <v>398</v>
      </c>
      <c r="V65" s="34">
        <v>865</v>
      </c>
      <c r="W65" s="34">
        <v>518</v>
      </c>
      <c r="X65" s="34">
        <v>1272</v>
      </c>
      <c r="Y65" s="34">
        <v>9058</v>
      </c>
      <c r="Z65" s="98">
        <v>8741</v>
      </c>
      <c r="AA65" s="98">
        <v>7915</v>
      </c>
      <c r="AB65" s="98">
        <f>8167</f>
        <v>8167</v>
      </c>
      <c r="AC65" s="98">
        <f>25044</f>
        <v>25044</v>
      </c>
      <c r="AD65" s="98">
        <f>13244</f>
        <v>13244</v>
      </c>
      <c r="AE65" s="98">
        <v>34280</v>
      </c>
    </row>
    <row r="66" spans="1:31" x14ac:dyDescent="0.2">
      <c r="A66" s="6" t="s">
        <v>298</v>
      </c>
      <c r="B66" s="103" t="s">
        <v>299</v>
      </c>
      <c r="C66" s="103" t="s">
        <v>299</v>
      </c>
      <c r="D66" s="103" t="s">
        <v>299</v>
      </c>
      <c r="E66" s="103" t="s">
        <v>299</v>
      </c>
      <c r="F66" s="103" t="s">
        <v>299</v>
      </c>
      <c r="G66" s="103" t="s">
        <v>299</v>
      </c>
      <c r="H66" s="103" t="s">
        <v>299</v>
      </c>
      <c r="I66" s="103" t="s">
        <v>299</v>
      </c>
      <c r="J66" s="103" t="s">
        <v>299</v>
      </c>
      <c r="K66" s="103" t="s">
        <v>299</v>
      </c>
      <c r="L66" s="103" t="s">
        <v>299</v>
      </c>
      <c r="M66" s="103" t="s">
        <v>299</v>
      </c>
      <c r="N66" s="103" t="s">
        <v>299</v>
      </c>
      <c r="O66" s="103" t="s">
        <v>299</v>
      </c>
      <c r="P66" s="103" t="s">
        <v>299</v>
      </c>
      <c r="Q66" s="103" t="s">
        <v>299</v>
      </c>
      <c r="R66" s="103" t="s">
        <v>299</v>
      </c>
      <c r="S66" s="103" t="s">
        <v>299</v>
      </c>
      <c r="T66" s="103" t="s">
        <v>299</v>
      </c>
      <c r="U66" s="34">
        <v>183</v>
      </c>
      <c r="V66" s="34">
        <v>375</v>
      </c>
      <c r="W66" s="34">
        <v>158</v>
      </c>
      <c r="X66" s="34">
        <v>602</v>
      </c>
      <c r="Y66" s="34">
        <v>241</v>
      </c>
      <c r="Z66" s="98">
        <v>994</v>
      </c>
      <c r="AA66" s="98">
        <v>1308</v>
      </c>
      <c r="AB66" s="98">
        <f>463</f>
        <v>463</v>
      </c>
      <c r="AC66" s="98">
        <f>744</f>
        <v>744</v>
      </c>
      <c r="AD66" s="98">
        <f>1012</f>
        <v>1012</v>
      </c>
      <c r="AE66" s="98">
        <f>833</f>
        <v>833</v>
      </c>
    </row>
    <row r="67" spans="1:31" x14ac:dyDescent="0.2">
      <c r="A67" s="47" t="s">
        <v>203</v>
      </c>
      <c r="B67" s="99">
        <v>16164</v>
      </c>
      <c r="C67" s="99">
        <v>17049</v>
      </c>
      <c r="D67" s="99">
        <v>19111</v>
      </c>
      <c r="E67" s="99">
        <v>21371</v>
      </c>
      <c r="F67" s="99">
        <v>21025</v>
      </c>
      <c r="G67" s="99">
        <v>27008</v>
      </c>
      <c r="H67" s="99">
        <v>38464</v>
      </c>
      <c r="I67" s="99">
        <v>27574</v>
      </c>
      <c r="J67" s="99">
        <v>25228</v>
      </c>
      <c r="K67" s="99">
        <v>35452</v>
      </c>
      <c r="L67" s="99">
        <v>44955</v>
      </c>
      <c r="M67" s="99">
        <v>41053</v>
      </c>
      <c r="N67" s="99">
        <v>47318</v>
      </c>
      <c r="O67" s="99">
        <v>45001</v>
      </c>
      <c r="P67" s="99">
        <v>53871</v>
      </c>
      <c r="Q67" s="99">
        <v>47972</v>
      </c>
      <c r="R67" s="99">
        <v>68426</v>
      </c>
      <c r="S67" s="99">
        <v>66704</v>
      </c>
      <c r="T67" s="99">
        <v>68925</v>
      </c>
      <c r="U67" s="99">
        <v>66017</v>
      </c>
      <c r="V67" s="78">
        <v>54013</v>
      </c>
      <c r="W67" s="78">
        <v>54831</v>
      </c>
      <c r="X67" s="78">
        <f>SUM(X61:X62)</f>
        <v>73803</v>
      </c>
      <c r="Y67" s="78">
        <v>68989</v>
      </c>
      <c r="Z67" s="78">
        <v>80524</v>
      </c>
      <c r="AA67" s="78">
        <v>94487</v>
      </c>
      <c r="AB67" s="78">
        <f>70617</f>
        <v>70617</v>
      </c>
      <c r="AC67" s="78">
        <f>SUM(AC61:AC62,AC65:AC66)</f>
        <v>113543</v>
      </c>
      <c r="AD67" s="78">
        <f>SUM(AD61:AD62,AD65:AD66)</f>
        <v>118754</v>
      </c>
      <c r="AE67" s="78">
        <f>SUM(AE61:AE62,AE65:AE66)</f>
        <v>180427</v>
      </c>
    </row>
    <row r="68" spans="1:31" x14ac:dyDescent="0.2">
      <c r="A68" s="45" t="s">
        <v>204</v>
      </c>
      <c r="B68" s="79">
        <v>52851</v>
      </c>
      <c r="C68" s="79">
        <v>58784</v>
      </c>
      <c r="D68" s="79">
        <v>62352</v>
      </c>
      <c r="E68" s="79">
        <v>73516</v>
      </c>
      <c r="F68" s="79">
        <v>74411</v>
      </c>
      <c r="G68" s="79">
        <v>83570</v>
      </c>
      <c r="H68" s="79">
        <v>95562</v>
      </c>
      <c r="I68" s="79">
        <v>96280</v>
      </c>
      <c r="J68" s="79">
        <v>96152</v>
      </c>
      <c r="K68" s="79">
        <v>106283</v>
      </c>
      <c r="L68" s="79">
        <v>114870</v>
      </c>
      <c r="M68" s="79">
        <v>114141</v>
      </c>
      <c r="N68" s="79">
        <v>125699</v>
      </c>
      <c r="O68" s="79">
        <v>134813</v>
      </c>
      <c r="P68" s="79">
        <v>138127</v>
      </c>
      <c r="Q68" s="79">
        <v>124537</v>
      </c>
      <c r="R68" s="79">
        <v>183817</v>
      </c>
      <c r="S68" s="79">
        <v>171344</v>
      </c>
      <c r="T68" s="79">
        <v>162289</v>
      </c>
      <c r="U68" s="79">
        <v>186519</v>
      </c>
      <c r="V68" s="100">
        <v>204237</v>
      </c>
      <c r="W68" s="100">
        <v>222098</v>
      </c>
      <c r="X68" s="100">
        <f>X67+X58+X48</f>
        <v>254552</v>
      </c>
      <c r="Y68" s="100">
        <v>248045</v>
      </c>
      <c r="Z68" s="100">
        <v>251350</v>
      </c>
      <c r="AA68" s="100">
        <v>260391</v>
      </c>
      <c r="AB68" s="100">
        <f>274393</f>
        <v>274393</v>
      </c>
      <c r="AC68" s="100">
        <f>SUM(AC48,AC58,AC67)</f>
        <v>336414</v>
      </c>
      <c r="AD68" s="100">
        <f>SUM(AD48,AD58,AD67)</f>
        <v>348169</v>
      </c>
      <c r="AE68" s="100">
        <f>SUM(AE48,AE58,AE67)</f>
        <v>380197</v>
      </c>
    </row>
    <row r="69" spans="1:31" x14ac:dyDescent="0.2">
      <c r="Y69" s="34"/>
    </row>
    <row r="70" spans="1:3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C70" s="34"/>
      <c r="AD70" s="34"/>
    </row>
    <row r="73" spans="1:31" x14ac:dyDescent="0.2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C73" s="34"/>
      <c r="AD73" s="34"/>
    </row>
  </sheetData>
  <hyperlinks>
    <hyperlink ref="A3" location="Contents!A1" display="Back to Contents" xr:uid="{7882C087-5C48-471F-B2FE-0DA2E43D38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F952-FAE0-4B54-B2C2-5E4DC8A37B75}">
  <dimension ref="A2:AU78"/>
  <sheetViews>
    <sheetView showGridLines="0" zoomScaleNormal="100" workbookViewId="0">
      <pane xSplit="1" topLeftCell="J1" activePane="topRight" state="frozen"/>
      <selection pane="topRight" activeCell="P76" sqref="P76"/>
    </sheetView>
  </sheetViews>
  <sheetFormatPr defaultColWidth="9.140625" defaultRowHeight="14.25" outlineLevelCol="1" x14ac:dyDescent="0.2"/>
  <cols>
    <col min="1" max="1" width="78.7109375" style="41" bestFit="1" customWidth="1"/>
    <col min="2" max="16" width="9.28515625" style="6" bestFit="1" customWidth="1"/>
    <col min="17" max="17" width="9.140625" style="6"/>
    <col min="18" max="37" width="9.140625" style="6" customWidth="1" outlineLevel="1"/>
    <col min="38" max="39" width="9.28515625" style="6" customWidth="1" outlineLevel="1"/>
    <col min="40" max="41" width="9.28515625" style="6" bestFit="1" customWidth="1" outlineLevel="1"/>
    <col min="42" max="43" width="10.28515625" style="6" bestFit="1" customWidth="1" outlineLevel="1"/>
    <col min="44" max="44" width="9.140625" style="41" outlineLevel="1"/>
    <col min="45" max="45" width="10.28515625" style="6" bestFit="1" customWidth="1" outlineLevel="1"/>
    <col min="46" max="47" width="9.140625" style="41" outlineLevel="1"/>
    <col min="48" max="16384" width="9.140625" style="41"/>
  </cols>
  <sheetData>
    <row r="2" spans="1:47" ht="18" x14ac:dyDescent="0.25">
      <c r="A2" s="54" t="s">
        <v>205</v>
      </c>
    </row>
    <row r="3" spans="1:47" x14ac:dyDescent="0.2">
      <c r="A3" s="35" t="s">
        <v>1</v>
      </c>
    </row>
    <row r="5" spans="1:47" x14ac:dyDescent="0.2">
      <c r="A5" s="36" t="s">
        <v>5</v>
      </c>
      <c r="B5" s="74">
        <v>2011</v>
      </c>
      <c r="C5" s="74">
        <v>2012</v>
      </c>
      <c r="D5" s="74">
        <v>2013</v>
      </c>
      <c r="E5" s="74">
        <v>2014</v>
      </c>
      <c r="F5" s="74">
        <v>2015</v>
      </c>
      <c r="G5" s="74">
        <v>2016</v>
      </c>
      <c r="H5" s="74">
        <v>2017</v>
      </c>
      <c r="I5" s="74">
        <v>2018</v>
      </c>
      <c r="J5" s="74">
        <v>2019</v>
      </c>
      <c r="K5" s="74">
        <v>2020</v>
      </c>
      <c r="L5" s="74">
        <v>2021</v>
      </c>
      <c r="M5" s="74">
        <v>2022</v>
      </c>
      <c r="N5" s="74">
        <v>2023</v>
      </c>
      <c r="O5" s="74">
        <v>2024</v>
      </c>
      <c r="P5" s="74">
        <v>2025</v>
      </c>
      <c r="Q5" s="75"/>
      <c r="R5" s="76" t="s">
        <v>97</v>
      </c>
      <c r="S5" s="76" t="s">
        <v>98</v>
      </c>
      <c r="T5" s="76" t="s">
        <v>99</v>
      </c>
      <c r="U5" s="76" t="s">
        <v>100</v>
      </c>
      <c r="V5" s="76" t="s">
        <v>101</v>
      </c>
      <c r="W5" s="76" t="s">
        <v>102</v>
      </c>
      <c r="X5" s="76" t="s">
        <v>103</v>
      </c>
      <c r="Y5" s="76" t="s">
        <v>104</v>
      </c>
      <c r="Z5" s="76" t="s">
        <v>105</v>
      </c>
      <c r="AA5" s="76" t="s">
        <v>106</v>
      </c>
      <c r="AB5" s="76" t="s">
        <v>107</v>
      </c>
      <c r="AC5" s="76" t="s">
        <v>108</v>
      </c>
      <c r="AD5" s="76" t="s">
        <v>109</v>
      </c>
      <c r="AE5" s="76" t="s">
        <v>110</v>
      </c>
      <c r="AF5" s="76" t="s">
        <v>111</v>
      </c>
      <c r="AG5" s="76" t="s">
        <v>112</v>
      </c>
      <c r="AH5" s="76" t="s">
        <v>113</v>
      </c>
      <c r="AI5" s="76" t="s">
        <v>114</v>
      </c>
      <c r="AJ5" s="77" t="s">
        <v>115</v>
      </c>
      <c r="AK5" s="77" t="s">
        <v>116</v>
      </c>
      <c r="AL5" s="77" t="s">
        <v>272</v>
      </c>
      <c r="AM5" s="77" t="s">
        <v>274</v>
      </c>
      <c r="AN5" s="77" t="s">
        <v>280</v>
      </c>
      <c r="AO5" s="77" t="s">
        <v>285</v>
      </c>
      <c r="AP5" s="77" t="s">
        <v>287</v>
      </c>
      <c r="AQ5" s="77" t="s">
        <v>295</v>
      </c>
      <c r="AR5" s="77" t="s">
        <v>302</v>
      </c>
      <c r="AS5" s="77" t="s">
        <v>306</v>
      </c>
      <c r="AT5" s="77" t="s">
        <v>315</v>
      </c>
      <c r="AU5" s="77" t="s">
        <v>320</v>
      </c>
    </row>
    <row r="6" spans="1:47" x14ac:dyDescent="0.2">
      <c r="A6" s="5" t="s">
        <v>206</v>
      </c>
      <c r="AR6" s="6"/>
      <c r="AT6" s="6"/>
      <c r="AU6" s="6"/>
    </row>
    <row r="7" spans="1:47" x14ac:dyDescent="0.2">
      <c r="A7" s="48" t="s">
        <v>142</v>
      </c>
      <c r="B7" s="104">
        <f>SUM(R7:S7)</f>
        <v>7440</v>
      </c>
      <c r="C7" s="104">
        <f>SUM(T7:U7)</f>
        <v>5000</v>
      </c>
      <c r="D7" s="104">
        <f>SUM(V7:W7)</f>
        <v>6664</v>
      </c>
      <c r="E7" s="104">
        <f>SUM(X7:Y7)</f>
        <v>8369</v>
      </c>
      <c r="F7" s="104">
        <f>SUM(Z7:AA7)</f>
        <v>5429</v>
      </c>
      <c r="G7" s="104">
        <f>SUM(AB7:AC7)</f>
        <v>4902</v>
      </c>
      <c r="H7" s="104">
        <f>SUM(AD7:AE7)</f>
        <v>7893</v>
      </c>
      <c r="I7" s="104">
        <f>SUM(AF7:AG7)</f>
        <v>-700</v>
      </c>
      <c r="J7" s="104">
        <f>SUM(AH7:AI7)</f>
        <v>186</v>
      </c>
      <c r="K7" s="105">
        <f>SUM(AJ7:AK7)</f>
        <v>2036</v>
      </c>
      <c r="L7" s="105">
        <f>SUM(AL7:AM7)</f>
        <v>3007</v>
      </c>
      <c r="M7" s="105">
        <f>SUM(AN7:AO7)</f>
        <v>13001</v>
      </c>
      <c r="N7" s="105">
        <v>-3370</v>
      </c>
      <c r="O7" s="105">
        <f>-6914</f>
        <v>-6914</v>
      </c>
      <c r="P7" s="105">
        <f>-22336</f>
        <v>-22336</v>
      </c>
      <c r="R7" s="104">
        <v>2751</v>
      </c>
      <c r="S7" s="104">
        <v>4689</v>
      </c>
      <c r="T7" s="104">
        <v>2369</v>
      </c>
      <c r="U7" s="104">
        <v>2631</v>
      </c>
      <c r="V7" s="104">
        <v>3098</v>
      </c>
      <c r="W7" s="104">
        <v>3566</v>
      </c>
      <c r="X7" s="104">
        <v>927</v>
      </c>
      <c r="Y7" s="104">
        <v>7442</v>
      </c>
      <c r="Z7" s="104">
        <v>2193</v>
      </c>
      <c r="AA7" s="104">
        <v>3236</v>
      </c>
      <c r="AB7" s="104">
        <v>1308</v>
      </c>
      <c r="AC7" s="104">
        <v>3594</v>
      </c>
      <c r="AD7" s="104">
        <v>2122</v>
      </c>
      <c r="AE7" s="104">
        <v>5771</v>
      </c>
      <c r="AF7" s="104">
        <v>-1981</v>
      </c>
      <c r="AG7" s="104">
        <v>1281</v>
      </c>
      <c r="AH7" s="104">
        <v>559</v>
      </c>
      <c r="AI7" s="104">
        <v>-373</v>
      </c>
      <c r="AJ7" s="81">
        <v>-1771</v>
      </c>
      <c r="AK7" s="81">
        <v>3807</v>
      </c>
      <c r="AL7" s="105">
        <v>1295</v>
      </c>
      <c r="AM7" s="105">
        <v>1712</v>
      </c>
      <c r="AN7" s="105">
        <v>11672</v>
      </c>
      <c r="AO7" s="105">
        <v>1329</v>
      </c>
      <c r="AP7" s="105">
        <v>-2119</v>
      </c>
      <c r="AQ7" s="105">
        <f>N7-AP7</f>
        <v>-1251</v>
      </c>
      <c r="AR7" s="105">
        <f>-1497</f>
        <v>-1497</v>
      </c>
      <c r="AS7" s="105">
        <f>O7-AR7</f>
        <v>-5417</v>
      </c>
      <c r="AT7" s="105">
        <f>-8940</f>
        <v>-8940</v>
      </c>
      <c r="AU7" s="105">
        <f>P7-AT7</f>
        <v>-13396</v>
      </c>
    </row>
    <row r="8" spans="1:47" x14ac:dyDescent="0.2">
      <c r="A8" s="49"/>
      <c r="B8" s="34"/>
      <c r="C8" s="34"/>
      <c r="D8" s="34"/>
      <c r="E8" s="34"/>
      <c r="F8" s="34"/>
      <c r="G8" s="34"/>
      <c r="H8" s="34"/>
      <c r="I8" s="34"/>
      <c r="J8" s="34"/>
      <c r="K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R8" s="6"/>
      <c r="AT8" s="6"/>
      <c r="AU8" s="6"/>
    </row>
    <row r="9" spans="1:47" x14ac:dyDescent="0.2">
      <c r="A9" s="50" t="s">
        <v>207</v>
      </c>
      <c r="B9" s="34"/>
      <c r="C9" s="34"/>
      <c r="D9" s="34"/>
      <c r="E9" s="34"/>
      <c r="F9" s="34"/>
      <c r="G9" s="34"/>
      <c r="H9" s="34"/>
      <c r="I9" s="34"/>
      <c r="J9" s="34"/>
      <c r="K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R9" s="6"/>
      <c r="AT9" s="6"/>
      <c r="AU9" s="6"/>
    </row>
    <row r="10" spans="1:47" x14ac:dyDescent="0.2">
      <c r="A10" s="6" t="s">
        <v>148</v>
      </c>
      <c r="B10" s="34">
        <f t="shared" ref="B10:B44" si="0">SUM(R10:S10)</f>
        <v>265</v>
      </c>
      <c r="C10" s="34">
        <f t="shared" ref="C10:C44" si="1">SUM(T10:U10)</f>
        <v>417</v>
      </c>
      <c r="D10" s="34">
        <f t="shared" ref="D10:D44" si="2">SUM(V10:W10)</f>
        <v>343</v>
      </c>
      <c r="E10" s="34">
        <f t="shared" ref="E10:E44" si="3">SUM(X10:Y10)</f>
        <v>417</v>
      </c>
      <c r="F10" s="34">
        <f t="shared" ref="F10:F44" si="4">SUM(Z10:AA10)</f>
        <v>406</v>
      </c>
      <c r="G10" s="34">
        <f t="shared" ref="G10:G44" si="5">SUM(AB10:AC10)</f>
        <v>434</v>
      </c>
      <c r="H10" s="34">
        <f t="shared" ref="H10:H44" si="6">SUM(AD10:AE10)</f>
        <v>340</v>
      </c>
      <c r="I10" s="34">
        <f t="shared" ref="I10:I44" si="7">SUM(AF10:AG10)</f>
        <v>365</v>
      </c>
      <c r="J10" s="34">
        <f t="shared" ref="J10:J44" si="8">SUM(AH10:AI10)</f>
        <v>542</v>
      </c>
      <c r="K10" s="34">
        <f t="shared" ref="K10:K44" si="9">SUM(AJ10:AK10)</f>
        <v>481</v>
      </c>
      <c r="L10" s="34">
        <f>SUM(AL10:AM10)</f>
        <v>521</v>
      </c>
      <c r="M10" s="34">
        <f>SUM(AN10:AO10)</f>
        <v>541</v>
      </c>
      <c r="N10" s="34">
        <v>797</v>
      </c>
      <c r="O10" s="34">
        <f>911</f>
        <v>911</v>
      </c>
      <c r="P10" s="34">
        <f>988</f>
        <v>988</v>
      </c>
      <c r="R10" s="34">
        <v>127</v>
      </c>
      <c r="S10" s="34">
        <v>138</v>
      </c>
      <c r="T10" s="34">
        <v>209</v>
      </c>
      <c r="U10" s="34">
        <v>208</v>
      </c>
      <c r="V10" s="34">
        <v>168</v>
      </c>
      <c r="W10" s="34">
        <v>175</v>
      </c>
      <c r="X10" s="34">
        <v>204</v>
      </c>
      <c r="Y10" s="34">
        <v>213</v>
      </c>
      <c r="Z10" s="34">
        <v>213</v>
      </c>
      <c r="AA10" s="34">
        <v>193</v>
      </c>
      <c r="AB10" s="34">
        <v>240</v>
      </c>
      <c r="AC10" s="34">
        <v>194</v>
      </c>
      <c r="AD10" s="34">
        <v>172</v>
      </c>
      <c r="AE10" s="34">
        <v>168</v>
      </c>
      <c r="AF10" s="34">
        <v>169</v>
      </c>
      <c r="AG10" s="34">
        <v>196</v>
      </c>
      <c r="AH10" s="34">
        <v>270</v>
      </c>
      <c r="AI10" s="34">
        <v>272</v>
      </c>
      <c r="AJ10" s="34">
        <v>385</v>
      </c>
      <c r="AK10" s="34">
        <v>96</v>
      </c>
      <c r="AL10" s="34">
        <v>233</v>
      </c>
      <c r="AM10" s="34">
        <v>288</v>
      </c>
      <c r="AN10" s="34">
        <v>273</v>
      </c>
      <c r="AO10" s="34">
        <v>268</v>
      </c>
      <c r="AP10" s="34">
        <f>403</f>
        <v>403</v>
      </c>
      <c r="AQ10" s="34">
        <f>N10-AP10</f>
        <v>394</v>
      </c>
      <c r="AR10" s="34">
        <f>450</f>
        <v>450</v>
      </c>
      <c r="AS10" s="34">
        <f t="shared" ref="AS10:AS23" si="10">O10-AR10</f>
        <v>461</v>
      </c>
      <c r="AT10" s="34">
        <f>459</f>
        <v>459</v>
      </c>
      <c r="AU10" s="34">
        <f t="shared" ref="AU10:AU73" si="11">P10-AT10</f>
        <v>529</v>
      </c>
    </row>
    <row r="11" spans="1:47" x14ac:dyDescent="0.2">
      <c r="A11" s="6" t="s">
        <v>208</v>
      </c>
      <c r="B11" s="34">
        <f t="shared" si="0"/>
        <v>-92</v>
      </c>
      <c r="C11" s="34">
        <f t="shared" si="1"/>
        <v>-49</v>
      </c>
      <c r="D11" s="34">
        <f t="shared" si="2"/>
        <v>-15</v>
      </c>
      <c r="E11" s="34">
        <f t="shared" si="3"/>
        <v>-52</v>
      </c>
      <c r="F11" s="34">
        <f t="shared" si="4"/>
        <v>-65</v>
      </c>
      <c r="G11" s="34">
        <f t="shared" si="5"/>
        <v>-52</v>
      </c>
      <c r="H11" s="34">
        <f t="shared" si="6"/>
        <v>-113</v>
      </c>
      <c r="I11" s="34">
        <f t="shared" si="7"/>
        <v>8</v>
      </c>
      <c r="J11" s="34">
        <f t="shared" si="8"/>
        <v>-274</v>
      </c>
      <c r="K11" s="34">
        <f t="shared" si="9"/>
        <v>-51</v>
      </c>
      <c r="L11" s="34">
        <f>SUM(AL11:AM11)</f>
        <v>-162</v>
      </c>
      <c r="M11" s="34">
        <f>SUM(AN11:AO11)</f>
        <v>90</v>
      </c>
      <c r="N11" s="34">
        <v>-214</v>
      </c>
      <c r="O11" s="34">
        <f>-282</f>
        <v>-282</v>
      </c>
      <c r="P11" s="34">
        <f>-841</f>
        <v>-841</v>
      </c>
      <c r="R11" s="34">
        <v>-59</v>
      </c>
      <c r="S11" s="34">
        <v>-33</v>
      </c>
      <c r="T11" s="34">
        <v>-27</v>
      </c>
      <c r="U11" s="34">
        <v>-22</v>
      </c>
      <c r="V11" s="34">
        <v>-27</v>
      </c>
      <c r="W11" s="34">
        <v>12</v>
      </c>
      <c r="X11" s="34">
        <v>-46</v>
      </c>
      <c r="Y11" s="34">
        <v>-6</v>
      </c>
      <c r="Z11" s="34">
        <v>20</v>
      </c>
      <c r="AA11" s="34">
        <v>-85</v>
      </c>
      <c r="AB11" s="34">
        <v>-7</v>
      </c>
      <c r="AC11" s="34">
        <v>-45</v>
      </c>
      <c r="AD11" s="34">
        <v>-51</v>
      </c>
      <c r="AE11" s="34">
        <v>-62</v>
      </c>
      <c r="AF11" s="34">
        <v>7</v>
      </c>
      <c r="AG11" s="34">
        <v>1</v>
      </c>
      <c r="AH11" s="34">
        <v>-14</v>
      </c>
      <c r="AI11" s="34">
        <v>-260</v>
      </c>
      <c r="AJ11" s="34">
        <v>-25</v>
      </c>
      <c r="AK11" s="34">
        <v>-26</v>
      </c>
      <c r="AL11" s="34">
        <v>-108</v>
      </c>
      <c r="AM11" s="34">
        <v>-54</v>
      </c>
      <c r="AN11" s="34">
        <v>60</v>
      </c>
      <c r="AO11" s="34">
        <v>30</v>
      </c>
      <c r="AP11" s="34">
        <v>-197</v>
      </c>
      <c r="AQ11" s="34">
        <f>N11-AP11</f>
        <v>-17</v>
      </c>
      <c r="AR11" s="34">
        <f>-41</f>
        <v>-41</v>
      </c>
      <c r="AS11" s="34">
        <f t="shared" si="10"/>
        <v>-241</v>
      </c>
      <c r="AT11" s="34">
        <f>-54</f>
        <v>-54</v>
      </c>
      <c r="AU11" s="34">
        <f t="shared" si="11"/>
        <v>-787</v>
      </c>
    </row>
    <row r="12" spans="1:47" x14ac:dyDescent="0.2">
      <c r="A12" s="6" t="s">
        <v>209</v>
      </c>
      <c r="B12" s="34">
        <f t="shared" si="0"/>
        <v>0</v>
      </c>
      <c r="C12" s="34">
        <f t="shared" si="1"/>
        <v>0</v>
      </c>
      <c r="D12" s="34">
        <f t="shared" si="2"/>
        <v>0</v>
      </c>
      <c r="E12" s="34">
        <f t="shared" si="3"/>
        <v>0</v>
      </c>
      <c r="F12" s="34">
        <f t="shared" si="4"/>
        <v>0</v>
      </c>
      <c r="G12" s="34">
        <f t="shared" si="5"/>
        <v>-267</v>
      </c>
      <c r="H12" s="34">
        <f t="shared" si="6"/>
        <v>-27</v>
      </c>
      <c r="I12" s="34">
        <f t="shared" si="7"/>
        <v>0</v>
      </c>
      <c r="J12" s="34">
        <f t="shared" si="8"/>
        <v>-13</v>
      </c>
      <c r="K12" s="34">
        <f t="shared" si="9"/>
        <v>-103</v>
      </c>
      <c r="L12" s="34">
        <f t="shared" ref="L12:L43" si="12">SUM(AL12:AM12)</f>
        <v>-279</v>
      </c>
      <c r="M12" s="34">
        <f>SUM(AN12:AO12)</f>
        <v>3</v>
      </c>
      <c r="N12" s="34">
        <v>0</v>
      </c>
      <c r="O12" s="34">
        <f>-14</f>
        <v>-14</v>
      </c>
      <c r="P12" s="34">
        <f>-5</f>
        <v>-5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-267</v>
      </c>
      <c r="AD12" s="34">
        <v>-27</v>
      </c>
      <c r="AE12" s="34">
        <v>0</v>
      </c>
      <c r="AF12" s="34">
        <v>0</v>
      </c>
      <c r="AG12" s="34">
        <v>0</v>
      </c>
      <c r="AH12" s="34">
        <v>0</v>
      </c>
      <c r="AI12" s="34">
        <v>-13</v>
      </c>
      <c r="AJ12" s="34">
        <v>-23</v>
      </c>
      <c r="AK12" s="34">
        <v>-80</v>
      </c>
      <c r="AL12" s="34">
        <v>-178</v>
      </c>
      <c r="AM12" s="34">
        <v>-101</v>
      </c>
      <c r="AN12" s="34">
        <v>0</v>
      </c>
      <c r="AO12" s="34">
        <v>3</v>
      </c>
      <c r="AP12" s="34">
        <v>23</v>
      </c>
      <c r="AQ12" s="34">
        <f>N12-AP12</f>
        <v>-23</v>
      </c>
      <c r="AR12" s="34">
        <f>-39</f>
        <v>-39</v>
      </c>
      <c r="AS12" s="34">
        <f t="shared" si="10"/>
        <v>25</v>
      </c>
      <c r="AT12" s="34">
        <f>-9</f>
        <v>-9</v>
      </c>
      <c r="AU12" s="34">
        <f t="shared" si="11"/>
        <v>4</v>
      </c>
    </row>
    <row r="13" spans="1:47" x14ac:dyDescent="0.2">
      <c r="A13" s="6" t="s">
        <v>210</v>
      </c>
      <c r="B13" s="34">
        <f t="shared" si="0"/>
        <v>0</v>
      </c>
      <c r="C13" s="34">
        <f t="shared" si="1"/>
        <v>0</v>
      </c>
      <c r="D13" s="34">
        <f t="shared" si="2"/>
        <v>0</v>
      </c>
      <c r="E13" s="34">
        <f t="shared" si="3"/>
        <v>0</v>
      </c>
      <c r="F13" s="34">
        <f t="shared" si="4"/>
        <v>0</v>
      </c>
      <c r="G13" s="34">
        <f t="shared" si="5"/>
        <v>0</v>
      </c>
      <c r="H13" s="34">
        <f t="shared" si="6"/>
        <v>0</v>
      </c>
      <c r="I13" s="34">
        <f t="shared" si="7"/>
        <v>0</v>
      </c>
      <c r="J13" s="34">
        <f t="shared" si="8"/>
        <v>0</v>
      </c>
      <c r="K13" s="34">
        <f t="shared" si="9"/>
        <v>200</v>
      </c>
      <c r="L13" s="34">
        <f t="shared" si="12"/>
        <v>205</v>
      </c>
      <c r="M13" s="34">
        <f>SUM(AN13:AO13)</f>
        <v>-51</v>
      </c>
      <c r="N13" s="34">
        <v>84</v>
      </c>
      <c r="O13" s="34">
        <f>-308</f>
        <v>-308</v>
      </c>
      <c r="P13" s="34">
        <f>-37</f>
        <v>-37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200</v>
      </c>
      <c r="AL13" s="34">
        <v>6</v>
      </c>
      <c r="AM13" s="34">
        <v>199</v>
      </c>
      <c r="AN13" s="34">
        <v>-55</v>
      </c>
      <c r="AO13" s="34">
        <v>4</v>
      </c>
      <c r="AP13" s="34">
        <f>0</f>
        <v>0</v>
      </c>
      <c r="AQ13" s="34">
        <f>N13-AP13</f>
        <v>84</v>
      </c>
      <c r="AR13" s="34">
        <f>-6</f>
        <v>-6</v>
      </c>
      <c r="AS13" s="34">
        <f t="shared" si="10"/>
        <v>-302</v>
      </c>
      <c r="AT13" s="34">
        <f>-31</f>
        <v>-31</v>
      </c>
      <c r="AU13" s="34">
        <f t="shared" si="11"/>
        <v>-6</v>
      </c>
    </row>
    <row r="14" spans="1:47" x14ac:dyDescent="0.2">
      <c r="A14" s="6" t="s">
        <v>211</v>
      </c>
      <c r="B14" s="34">
        <f t="shared" si="0"/>
        <v>0</v>
      </c>
      <c r="C14" s="34">
        <f t="shared" si="1"/>
        <v>0</v>
      </c>
      <c r="D14" s="34">
        <f t="shared" si="2"/>
        <v>0</v>
      </c>
      <c r="E14" s="34">
        <f t="shared" si="3"/>
        <v>280</v>
      </c>
      <c r="F14" s="34">
        <f t="shared" si="4"/>
        <v>215</v>
      </c>
      <c r="G14" s="34">
        <f t="shared" si="5"/>
        <v>-41</v>
      </c>
      <c r="H14" s="34">
        <f t="shared" si="6"/>
        <v>0</v>
      </c>
      <c r="I14" s="34">
        <f t="shared" si="7"/>
        <v>0</v>
      </c>
      <c r="J14" s="34">
        <f t="shared" si="8"/>
        <v>0</v>
      </c>
      <c r="K14" s="34">
        <f t="shared" si="9"/>
        <v>0</v>
      </c>
      <c r="L14" s="34">
        <f t="shared" si="12"/>
        <v>0</v>
      </c>
      <c r="M14" s="34">
        <f>SUM(AN14:AO14)</f>
        <v>0</v>
      </c>
      <c r="N14" s="34">
        <f>SUM(AO14:AP14)</f>
        <v>0</v>
      </c>
      <c r="O14" s="34">
        <f>-169</f>
        <v>-169</v>
      </c>
      <c r="P14" s="34">
        <f>0</f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60</v>
      </c>
      <c r="Y14" s="34">
        <v>220</v>
      </c>
      <c r="Z14" s="34">
        <v>166</v>
      </c>
      <c r="AA14" s="34">
        <v>49</v>
      </c>
      <c r="AB14" s="34">
        <v>27</v>
      </c>
      <c r="AC14" s="34">
        <v>-68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f>N14-AP14</f>
        <v>0</v>
      </c>
      <c r="AR14" s="34">
        <f>0</f>
        <v>0</v>
      </c>
      <c r="AS14" s="34">
        <f t="shared" si="10"/>
        <v>-169</v>
      </c>
      <c r="AT14" s="34">
        <f>0</f>
        <v>0</v>
      </c>
      <c r="AU14" s="34">
        <f t="shared" si="11"/>
        <v>0</v>
      </c>
    </row>
    <row r="15" spans="1:47" x14ac:dyDescent="0.2">
      <c r="A15" s="6" t="s">
        <v>309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>
        <f>168</f>
        <v>168</v>
      </c>
      <c r="P15" s="34">
        <f>28</f>
        <v>28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>
        <v>0</v>
      </c>
      <c r="AS15" s="34">
        <f t="shared" si="10"/>
        <v>168</v>
      </c>
      <c r="AT15" s="34">
        <f>28</f>
        <v>28</v>
      </c>
      <c r="AU15" s="98">
        <f t="shared" si="11"/>
        <v>0</v>
      </c>
    </row>
    <row r="16" spans="1:47" x14ac:dyDescent="0.2">
      <c r="A16" s="6" t="s">
        <v>212</v>
      </c>
      <c r="B16" s="34">
        <f t="shared" si="0"/>
        <v>0</v>
      </c>
      <c r="C16" s="34">
        <f t="shared" si="1"/>
        <v>0</v>
      </c>
      <c r="D16" s="34">
        <f t="shared" si="2"/>
        <v>0</v>
      </c>
      <c r="E16" s="34">
        <f t="shared" si="3"/>
        <v>466</v>
      </c>
      <c r="F16" s="34">
        <f t="shared" si="4"/>
        <v>514</v>
      </c>
      <c r="G16" s="34">
        <f t="shared" si="5"/>
        <v>430</v>
      </c>
      <c r="H16" s="34">
        <f t="shared" si="6"/>
        <v>819</v>
      </c>
      <c r="I16" s="34">
        <f t="shared" si="7"/>
        <v>450</v>
      </c>
      <c r="J16" s="34">
        <f t="shared" si="8"/>
        <v>1287</v>
      </c>
      <c r="K16" s="34">
        <f t="shared" si="9"/>
        <v>676</v>
      </c>
      <c r="L16" s="34">
        <f t="shared" si="12"/>
        <v>2054</v>
      </c>
      <c r="M16" s="34">
        <f t="shared" ref="M16:M21" si="13">SUM(AN16:AO16)</f>
        <v>994</v>
      </c>
      <c r="N16" s="34">
        <v>-34</v>
      </c>
      <c r="O16" s="34">
        <f>863</f>
        <v>863</v>
      </c>
      <c r="P16" s="34">
        <f>-761</f>
        <v>-761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85</v>
      </c>
      <c r="Y16" s="34">
        <v>381</v>
      </c>
      <c r="Z16" s="34">
        <v>30</v>
      </c>
      <c r="AA16" s="34">
        <v>484</v>
      </c>
      <c r="AB16" s="34">
        <v>290</v>
      </c>
      <c r="AC16" s="34">
        <v>140</v>
      </c>
      <c r="AD16" s="34">
        <v>170</v>
      </c>
      <c r="AE16" s="34">
        <v>649</v>
      </c>
      <c r="AF16" s="34">
        <v>1524</v>
      </c>
      <c r="AG16" s="34">
        <v>-1074</v>
      </c>
      <c r="AH16" s="34">
        <v>458</v>
      </c>
      <c r="AI16" s="34">
        <v>829</v>
      </c>
      <c r="AJ16" s="34">
        <v>319</v>
      </c>
      <c r="AK16" s="34">
        <v>357</v>
      </c>
      <c r="AL16" s="34">
        <v>1803</v>
      </c>
      <c r="AM16" s="34">
        <v>251</v>
      </c>
      <c r="AN16" s="34">
        <v>-842</v>
      </c>
      <c r="AO16" s="34">
        <v>1836</v>
      </c>
      <c r="AP16" s="34">
        <v>124</v>
      </c>
      <c r="AQ16" s="34">
        <f t="shared" ref="AQ16:AQ22" si="14">N16-AP16</f>
        <v>-158</v>
      </c>
      <c r="AR16" s="34">
        <f>1374</f>
        <v>1374</v>
      </c>
      <c r="AS16" s="34">
        <f t="shared" si="10"/>
        <v>-511</v>
      </c>
      <c r="AT16" s="34">
        <f>-2409</f>
        <v>-2409</v>
      </c>
      <c r="AU16" s="34">
        <f t="shared" si="11"/>
        <v>1648</v>
      </c>
    </row>
    <row r="17" spans="1:47" x14ac:dyDescent="0.2">
      <c r="A17" s="6" t="s">
        <v>213</v>
      </c>
      <c r="B17" s="34">
        <f t="shared" si="0"/>
        <v>0</v>
      </c>
      <c r="C17" s="34">
        <f t="shared" si="1"/>
        <v>0</v>
      </c>
      <c r="D17" s="34">
        <f t="shared" si="2"/>
        <v>0</v>
      </c>
      <c r="E17" s="34">
        <f t="shared" si="3"/>
        <v>0</v>
      </c>
      <c r="F17" s="34">
        <f t="shared" si="4"/>
        <v>0</v>
      </c>
      <c r="G17" s="34">
        <f t="shared" si="5"/>
        <v>0</v>
      </c>
      <c r="H17" s="34">
        <f t="shared" si="6"/>
        <v>673</v>
      </c>
      <c r="I17" s="34">
        <f t="shared" si="7"/>
        <v>900</v>
      </c>
      <c r="J17" s="34">
        <f t="shared" si="8"/>
        <v>578</v>
      </c>
      <c r="K17" s="34">
        <f t="shared" si="9"/>
        <v>418</v>
      </c>
      <c r="L17" s="34">
        <f t="shared" si="12"/>
        <v>327</v>
      </c>
      <c r="M17" s="34">
        <f t="shared" si="13"/>
        <v>898</v>
      </c>
      <c r="N17" s="34">
        <v>829</v>
      </c>
      <c r="O17" s="34">
        <f>547</f>
        <v>547</v>
      </c>
      <c r="P17" s="34">
        <f>254</f>
        <v>254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244</v>
      </c>
      <c r="AE17" s="34">
        <v>429</v>
      </c>
      <c r="AF17" s="34">
        <v>212</v>
      </c>
      <c r="AG17" s="34">
        <v>688</v>
      </c>
      <c r="AH17" s="34">
        <v>180</v>
      </c>
      <c r="AI17" s="34">
        <v>398</v>
      </c>
      <c r="AJ17" s="34">
        <v>126</v>
      </c>
      <c r="AK17" s="34">
        <v>292</v>
      </c>
      <c r="AL17" s="34">
        <v>135</v>
      </c>
      <c r="AM17" s="34">
        <v>192</v>
      </c>
      <c r="AN17" s="34">
        <v>75</v>
      </c>
      <c r="AO17" s="34">
        <v>823</v>
      </c>
      <c r="AP17" s="34">
        <v>633</v>
      </c>
      <c r="AQ17" s="34">
        <f t="shared" si="14"/>
        <v>196</v>
      </c>
      <c r="AR17" s="34">
        <f>244</f>
        <v>244</v>
      </c>
      <c r="AS17" s="34">
        <f t="shared" si="10"/>
        <v>303</v>
      </c>
      <c r="AT17" s="34">
        <f>153</f>
        <v>153</v>
      </c>
      <c r="AU17" s="34">
        <f t="shared" si="11"/>
        <v>101</v>
      </c>
    </row>
    <row r="18" spans="1:47" x14ac:dyDescent="0.2">
      <c r="A18" s="6" t="s">
        <v>275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f t="shared" si="12"/>
        <v>16</v>
      </c>
      <c r="M18" s="34">
        <f t="shared" si="13"/>
        <v>37</v>
      </c>
      <c r="N18" s="34">
        <v>-66</v>
      </c>
      <c r="O18" s="34">
        <f>4991</f>
        <v>4991</v>
      </c>
      <c r="P18" s="34">
        <f>1963</f>
        <v>1963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>
        <v>16</v>
      </c>
      <c r="AN18" s="34">
        <v>38</v>
      </c>
      <c r="AO18" s="34">
        <v>-1</v>
      </c>
      <c r="AP18" s="34">
        <v>-17</v>
      </c>
      <c r="AQ18" s="34">
        <f t="shared" si="14"/>
        <v>-49</v>
      </c>
      <c r="AR18" s="34">
        <f>1470</f>
        <v>1470</v>
      </c>
      <c r="AS18" s="34">
        <f t="shared" si="10"/>
        <v>3521</v>
      </c>
      <c r="AT18" s="34">
        <f>504</f>
        <v>504</v>
      </c>
      <c r="AU18" s="34">
        <f t="shared" si="11"/>
        <v>1459</v>
      </c>
    </row>
    <row r="19" spans="1:47" x14ac:dyDescent="0.2">
      <c r="A19" s="6" t="s">
        <v>214</v>
      </c>
      <c r="B19" s="34">
        <f t="shared" si="0"/>
        <v>0</v>
      </c>
      <c r="C19" s="34">
        <f t="shared" si="1"/>
        <v>0</v>
      </c>
      <c r="D19" s="34">
        <f t="shared" si="2"/>
        <v>0</v>
      </c>
      <c r="E19" s="34">
        <f t="shared" si="3"/>
        <v>0</v>
      </c>
      <c r="F19" s="34">
        <f t="shared" si="4"/>
        <v>0</v>
      </c>
      <c r="G19" s="34">
        <f t="shared" si="5"/>
        <v>0</v>
      </c>
      <c r="H19" s="34">
        <f t="shared" si="6"/>
        <v>221</v>
      </c>
      <c r="I19" s="34">
        <f t="shared" si="7"/>
        <v>846</v>
      </c>
      <c r="J19" s="34">
        <f t="shared" si="8"/>
        <v>0</v>
      </c>
      <c r="K19" s="34">
        <f t="shared" si="9"/>
        <v>0</v>
      </c>
      <c r="L19" s="34">
        <f t="shared" si="12"/>
        <v>0</v>
      </c>
      <c r="M19" s="34">
        <f t="shared" si="13"/>
        <v>0</v>
      </c>
      <c r="N19" s="34">
        <f>SUM(AO19:AP19)</f>
        <v>0</v>
      </c>
      <c r="O19" s="34">
        <f>0</f>
        <v>0</v>
      </c>
      <c r="P19" s="34">
        <f>0</f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221</v>
      </c>
      <c r="AF19" s="34">
        <v>846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f t="shared" si="14"/>
        <v>0</v>
      </c>
      <c r="AR19" s="34">
        <f>0</f>
        <v>0</v>
      </c>
      <c r="AS19" s="34">
        <f t="shared" si="10"/>
        <v>0</v>
      </c>
      <c r="AT19" s="34">
        <f>0</f>
        <v>0</v>
      </c>
      <c r="AU19" s="34">
        <f t="shared" si="11"/>
        <v>0</v>
      </c>
    </row>
    <row r="20" spans="1:47" x14ac:dyDescent="0.2">
      <c r="A20" s="6" t="s">
        <v>273</v>
      </c>
      <c r="B20" s="34">
        <f t="shared" si="0"/>
        <v>1</v>
      </c>
      <c r="C20" s="34">
        <f t="shared" si="1"/>
        <v>28</v>
      </c>
      <c r="D20" s="34">
        <f t="shared" si="2"/>
        <v>0</v>
      </c>
      <c r="E20" s="34">
        <f t="shared" si="3"/>
        <v>0</v>
      </c>
      <c r="F20" s="34">
        <f t="shared" si="4"/>
        <v>0</v>
      </c>
      <c r="G20" s="34">
        <f t="shared" si="5"/>
        <v>0</v>
      </c>
      <c r="H20" s="34">
        <f t="shared" si="6"/>
        <v>0</v>
      </c>
      <c r="I20" s="34">
        <f t="shared" si="7"/>
        <v>0</v>
      </c>
      <c r="J20" s="34">
        <f t="shared" si="8"/>
        <v>-87</v>
      </c>
      <c r="K20" s="34">
        <f t="shared" si="9"/>
        <v>0</v>
      </c>
      <c r="L20" s="34">
        <f t="shared" si="12"/>
        <v>7</v>
      </c>
      <c r="M20" s="34">
        <f t="shared" si="13"/>
        <v>2</v>
      </c>
      <c r="N20" s="34">
        <v>-14</v>
      </c>
      <c r="O20" s="34">
        <f>65</f>
        <v>65</v>
      </c>
      <c r="P20" s="34">
        <f>113</f>
        <v>113</v>
      </c>
      <c r="R20" s="34">
        <v>1</v>
      </c>
      <c r="S20" s="34">
        <v>0</v>
      </c>
      <c r="T20" s="34">
        <v>0</v>
      </c>
      <c r="U20" s="34">
        <v>28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-87</v>
      </c>
      <c r="AJ20" s="34">
        <v>0</v>
      </c>
      <c r="AK20" s="34">
        <v>0</v>
      </c>
      <c r="AL20" s="34">
        <v>20</v>
      </c>
      <c r="AM20" s="34">
        <v>-13</v>
      </c>
      <c r="AN20" s="34">
        <v>0</v>
      </c>
      <c r="AO20" s="34">
        <v>2</v>
      </c>
      <c r="AP20" s="34">
        <v>0</v>
      </c>
      <c r="AQ20" s="34">
        <f t="shared" si="14"/>
        <v>-14</v>
      </c>
      <c r="AR20" s="34">
        <f>0</f>
        <v>0</v>
      </c>
      <c r="AS20" s="34">
        <f t="shared" si="10"/>
        <v>65</v>
      </c>
      <c r="AT20" s="34">
        <f>0</f>
        <v>0</v>
      </c>
      <c r="AU20" s="34">
        <f t="shared" si="11"/>
        <v>113</v>
      </c>
    </row>
    <row r="21" spans="1:47" x14ac:dyDescent="0.2">
      <c r="A21" s="6" t="s">
        <v>215</v>
      </c>
      <c r="B21" s="34">
        <f t="shared" si="0"/>
        <v>-24</v>
      </c>
      <c r="C21" s="34">
        <f t="shared" si="1"/>
        <v>0</v>
      </c>
      <c r="D21" s="34">
        <f t="shared" si="2"/>
        <v>0</v>
      </c>
      <c r="E21" s="34">
        <f t="shared" si="3"/>
        <v>0</v>
      </c>
      <c r="F21" s="34">
        <f t="shared" si="4"/>
        <v>0</v>
      </c>
      <c r="G21" s="34">
        <f t="shared" si="5"/>
        <v>0</v>
      </c>
      <c r="H21" s="34">
        <f t="shared" si="6"/>
        <v>0</v>
      </c>
      <c r="I21" s="34">
        <f t="shared" si="7"/>
        <v>0</v>
      </c>
      <c r="J21" s="34">
        <f t="shared" si="8"/>
        <v>0</v>
      </c>
      <c r="K21" s="34">
        <f t="shared" si="9"/>
        <v>0</v>
      </c>
      <c r="L21" s="34">
        <f t="shared" si="12"/>
        <v>0</v>
      </c>
      <c r="M21" s="34">
        <f t="shared" si="13"/>
        <v>0</v>
      </c>
      <c r="N21" s="34">
        <f>SUM(AO21:AP21)</f>
        <v>0</v>
      </c>
      <c r="O21" s="34">
        <f>0</f>
        <v>0</v>
      </c>
      <c r="P21" s="34">
        <f>0</f>
        <v>0</v>
      </c>
      <c r="R21" s="34">
        <v>-24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f t="shared" si="14"/>
        <v>0</v>
      </c>
      <c r="AR21" s="34">
        <f>0</f>
        <v>0</v>
      </c>
      <c r="AS21" s="34">
        <f t="shared" si="10"/>
        <v>0</v>
      </c>
      <c r="AT21" s="34">
        <f>0</f>
        <v>0</v>
      </c>
      <c r="AU21" s="34">
        <f t="shared" si="11"/>
        <v>0</v>
      </c>
    </row>
    <row r="22" spans="1:47" x14ac:dyDescent="0.2">
      <c r="A22" s="6" t="s">
        <v>289</v>
      </c>
      <c r="B22" s="34">
        <f t="shared" ref="B22" si="15">SUM(R22:S22)</f>
        <v>0</v>
      </c>
      <c r="C22" s="34">
        <f t="shared" ref="C22" si="16">SUM(T22:U22)</f>
        <v>0</v>
      </c>
      <c r="D22" s="34">
        <f t="shared" ref="D22" si="17">SUM(V22:W22)</f>
        <v>0</v>
      </c>
      <c r="E22" s="34">
        <f t="shared" ref="E22" si="18">SUM(X22:Y22)</f>
        <v>0</v>
      </c>
      <c r="F22" s="34">
        <f t="shared" ref="F22" si="19">SUM(Z22:AA22)</f>
        <v>0</v>
      </c>
      <c r="G22" s="34">
        <f t="shared" ref="G22" si="20">SUM(AB22:AC22)</f>
        <v>0</v>
      </c>
      <c r="H22" s="34">
        <f t="shared" ref="H22" si="21">SUM(AD22:AE22)</f>
        <v>0</v>
      </c>
      <c r="I22" s="34">
        <f t="shared" ref="I22" si="22">SUM(AF22:AG22)</f>
        <v>0</v>
      </c>
      <c r="J22" s="34">
        <f t="shared" ref="J22" si="23">SUM(AH22:AI22)</f>
        <v>0</v>
      </c>
      <c r="K22" s="34">
        <f t="shared" ref="K22" si="24">SUM(AJ22:AK22)</f>
        <v>0</v>
      </c>
      <c r="L22" s="34">
        <f t="shared" ref="L22" si="25">SUM(AL22:AM22)</f>
        <v>0</v>
      </c>
      <c r="M22" s="34">
        <f t="shared" ref="M22" si="26">SUM(AN22:AO22)</f>
        <v>0</v>
      </c>
      <c r="N22" s="34">
        <v>2535</v>
      </c>
      <c r="O22" s="34">
        <f>484</f>
        <v>484</v>
      </c>
      <c r="P22" s="34">
        <f>993</f>
        <v>993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612</v>
      </c>
      <c r="AQ22" s="34">
        <f t="shared" si="14"/>
        <v>1923</v>
      </c>
      <c r="AR22" s="34">
        <f>-3</f>
        <v>-3</v>
      </c>
      <c r="AS22" s="34">
        <f t="shared" si="10"/>
        <v>487</v>
      </c>
      <c r="AT22" s="34">
        <f>279</f>
        <v>279</v>
      </c>
      <c r="AU22" s="34">
        <f t="shared" si="11"/>
        <v>714</v>
      </c>
    </row>
    <row r="23" spans="1:47" x14ac:dyDescent="0.2">
      <c r="A23" s="6" t="s">
        <v>310</v>
      </c>
      <c r="B23" s="34">
        <f>0</f>
        <v>0</v>
      </c>
      <c r="C23" s="34">
        <f>0</f>
        <v>0</v>
      </c>
      <c r="D23" s="34">
        <f>0</f>
        <v>0</v>
      </c>
      <c r="E23" s="34">
        <f>0</f>
        <v>0</v>
      </c>
      <c r="F23" s="34">
        <f>0</f>
        <v>0</v>
      </c>
      <c r="G23" s="34">
        <f>0</f>
        <v>0</v>
      </c>
      <c r="H23" s="34">
        <f>0</f>
        <v>0</v>
      </c>
      <c r="I23" s="34">
        <f>0</f>
        <v>0</v>
      </c>
      <c r="J23" s="34">
        <f>0</f>
        <v>0</v>
      </c>
      <c r="K23" s="34">
        <f>0</f>
        <v>0</v>
      </c>
      <c r="L23" s="34">
        <f>0</f>
        <v>0</v>
      </c>
      <c r="M23" s="34">
        <f>0</f>
        <v>0</v>
      </c>
      <c r="N23" s="34">
        <f>0</f>
        <v>0</v>
      </c>
      <c r="O23" s="34">
        <f>-420</f>
        <v>-420</v>
      </c>
      <c r="P23" s="34">
        <f>-49</f>
        <v>-49</v>
      </c>
      <c r="R23" s="34">
        <f>0</f>
        <v>0</v>
      </c>
      <c r="S23" s="34">
        <f>0</f>
        <v>0</v>
      </c>
      <c r="T23" s="34">
        <f>0</f>
        <v>0</v>
      </c>
      <c r="U23" s="34">
        <f>0</f>
        <v>0</v>
      </c>
      <c r="V23" s="34">
        <f>0</f>
        <v>0</v>
      </c>
      <c r="W23" s="34">
        <f>0</f>
        <v>0</v>
      </c>
      <c r="X23" s="34">
        <f>0</f>
        <v>0</v>
      </c>
      <c r="Y23" s="34">
        <f>0</f>
        <v>0</v>
      </c>
      <c r="Z23" s="34">
        <f>0</f>
        <v>0</v>
      </c>
      <c r="AA23" s="34">
        <f>0</f>
        <v>0</v>
      </c>
      <c r="AB23" s="34">
        <f>0</f>
        <v>0</v>
      </c>
      <c r="AC23" s="34">
        <f>0</f>
        <v>0</v>
      </c>
      <c r="AD23" s="34">
        <f>0</f>
        <v>0</v>
      </c>
      <c r="AE23" s="34">
        <f>0</f>
        <v>0</v>
      </c>
      <c r="AF23" s="34">
        <f>0</f>
        <v>0</v>
      </c>
      <c r="AG23" s="34">
        <f>0</f>
        <v>0</v>
      </c>
      <c r="AH23" s="34">
        <f>0</f>
        <v>0</v>
      </c>
      <c r="AI23" s="34">
        <f>0</f>
        <v>0</v>
      </c>
      <c r="AJ23" s="34">
        <f>0</f>
        <v>0</v>
      </c>
      <c r="AK23" s="34">
        <f>0</f>
        <v>0</v>
      </c>
      <c r="AL23" s="34">
        <f>0</f>
        <v>0</v>
      </c>
      <c r="AM23" s="34">
        <f>0</f>
        <v>0</v>
      </c>
      <c r="AN23" s="34">
        <f>0</f>
        <v>0</v>
      </c>
      <c r="AO23" s="34">
        <f>0</f>
        <v>0</v>
      </c>
      <c r="AP23" s="34">
        <f>0</f>
        <v>0</v>
      </c>
      <c r="AQ23" s="34">
        <f>0</f>
        <v>0</v>
      </c>
      <c r="AR23" s="34">
        <f>0</f>
        <v>0</v>
      </c>
      <c r="AS23" s="34">
        <f t="shared" si="10"/>
        <v>-420</v>
      </c>
      <c r="AT23" s="34">
        <f>-43</f>
        <v>-43</v>
      </c>
      <c r="AU23" s="34">
        <f t="shared" si="11"/>
        <v>-6</v>
      </c>
    </row>
    <row r="24" spans="1:47" x14ac:dyDescent="0.2">
      <c r="A24" s="6" t="s">
        <v>317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f>0</f>
        <v>0</v>
      </c>
      <c r="P24" s="34">
        <v>403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>
        <f>0</f>
        <v>0</v>
      </c>
      <c r="AS24" s="34"/>
      <c r="AT24" s="34">
        <f>-24</f>
        <v>-24</v>
      </c>
      <c r="AU24" s="34">
        <f t="shared" si="11"/>
        <v>427</v>
      </c>
    </row>
    <row r="25" spans="1:47" x14ac:dyDescent="0.2">
      <c r="A25" s="6" t="s">
        <v>286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>
        <f t="shared" ref="M25:M34" si="27">SUM(AN25:AO25)</f>
        <v>-135</v>
      </c>
      <c r="N25" s="34">
        <v>0</v>
      </c>
      <c r="O25" s="34">
        <f>0</f>
        <v>0</v>
      </c>
      <c r="P25" s="34">
        <f>0</f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-135</v>
      </c>
      <c r="AP25" s="34">
        <v>0</v>
      </c>
      <c r="AQ25" s="34">
        <f t="shared" ref="AQ25:AQ34" si="28">N25-AP25</f>
        <v>0</v>
      </c>
      <c r="AR25" s="34">
        <f>0</f>
        <v>0</v>
      </c>
      <c r="AS25" s="34">
        <f t="shared" ref="AS25:AS44" si="29">O25-AR25</f>
        <v>0</v>
      </c>
      <c r="AT25" s="34">
        <f>0</f>
        <v>0</v>
      </c>
      <c r="AU25" s="34">
        <f t="shared" si="11"/>
        <v>0</v>
      </c>
    </row>
    <row r="26" spans="1:47" x14ac:dyDescent="0.2">
      <c r="A26" s="6" t="s">
        <v>132</v>
      </c>
      <c r="B26" s="34">
        <f t="shared" si="0"/>
        <v>0</v>
      </c>
      <c r="C26" s="34">
        <f t="shared" si="1"/>
        <v>0</v>
      </c>
      <c r="D26" s="34">
        <f t="shared" si="2"/>
        <v>0</v>
      </c>
      <c r="E26" s="34">
        <f t="shared" si="3"/>
        <v>0</v>
      </c>
      <c r="F26" s="34">
        <f t="shared" si="4"/>
        <v>0</v>
      </c>
      <c r="G26" s="34">
        <f t="shared" si="5"/>
        <v>0</v>
      </c>
      <c r="H26" s="34">
        <f t="shared" si="6"/>
        <v>0</v>
      </c>
      <c r="I26" s="34">
        <f t="shared" si="7"/>
        <v>0</v>
      </c>
      <c r="J26" s="34">
        <f t="shared" si="8"/>
        <v>-729</v>
      </c>
      <c r="K26" s="34">
        <f t="shared" si="9"/>
        <v>0</v>
      </c>
      <c r="L26" s="34">
        <f t="shared" si="12"/>
        <v>0</v>
      </c>
      <c r="M26" s="34">
        <f t="shared" si="27"/>
        <v>-12038</v>
      </c>
      <c r="N26" s="34">
        <f>SUM(AO26:AP26)</f>
        <v>0</v>
      </c>
      <c r="O26" s="34">
        <f>0</f>
        <v>0</v>
      </c>
      <c r="P26" s="34">
        <f>0</f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-729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-12038</v>
      </c>
      <c r="AO26" s="34">
        <v>0</v>
      </c>
      <c r="AP26" s="34">
        <v>0</v>
      </c>
      <c r="AQ26" s="34">
        <f t="shared" si="28"/>
        <v>0</v>
      </c>
      <c r="AR26" s="34">
        <f>0</f>
        <v>0</v>
      </c>
      <c r="AS26" s="34">
        <f t="shared" si="29"/>
        <v>0</v>
      </c>
      <c r="AT26" s="34">
        <f>0</f>
        <v>0</v>
      </c>
      <c r="AU26" s="34">
        <f t="shared" si="11"/>
        <v>0</v>
      </c>
    </row>
    <row r="27" spans="1:47" x14ac:dyDescent="0.2">
      <c r="A27" s="6" t="s">
        <v>216</v>
      </c>
      <c r="B27" s="34">
        <f t="shared" si="0"/>
        <v>0</v>
      </c>
      <c r="C27" s="34">
        <f t="shared" si="1"/>
        <v>0</v>
      </c>
      <c r="D27" s="34">
        <f t="shared" si="2"/>
        <v>0</v>
      </c>
      <c r="E27" s="34">
        <f t="shared" si="3"/>
        <v>0</v>
      </c>
      <c r="F27" s="34">
        <f t="shared" si="4"/>
        <v>0</v>
      </c>
      <c r="G27" s="34">
        <f t="shared" si="5"/>
        <v>0</v>
      </c>
      <c r="H27" s="34">
        <f t="shared" si="6"/>
        <v>0</v>
      </c>
      <c r="I27" s="34">
        <f t="shared" si="7"/>
        <v>0</v>
      </c>
      <c r="J27" s="34">
        <f t="shared" si="8"/>
        <v>-1703</v>
      </c>
      <c r="K27" s="34">
        <f t="shared" si="9"/>
        <v>-1210</v>
      </c>
      <c r="L27" s="34">
        <f t="shared" si="12"/>
        <v>-3003</v>
      </c>
      <c r="M27" s="34">
        <f t="shared" si="27"/>
        <v>-324</v>
      </c>
      <c r="N27" s="34">
        <v>-157</v>
      </c>
      <c r="O27" s="34">
        <f>-1</f>
        <v>-1</v>
      </c>
      <c r="P27" s="34">
        <f>-1</f>
        <v>-1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-1703</v>
      </c>
      <c r="AJ27" s="34">
        <v>0</v>
      </c>
      <c r="AK27" s="34">
        <v>-1210</v>
      </c>
      <c r="AL27" s="34">
        <v>-2759</v>
      </c>
      <c r="AM27" s="34">
        <v>-244</v>
      </c>
      <c r="AN27" s="34">
        <v>-121</v>
      </c>
      <c r="AO27" s="34">
        <v>-203</v>
      </c>
      <c r="AP27" s="34">
        <v>-87</v>
      </c>
      <c r="AQ27" s="34">
        <f t="shared" si="28"/>
        <v>-70</v>
      </c>
      <c r="AR27" s="34">
        <f>0</f>
        <v>0</v>
      </c>
      <c r="AS27" s="34">
        <f t="shared" si="29"/>
        <v>-1</v>
      </c>
      <c r="AT27" s="34">
        <f>0</f>
        <v>0</v>
      </c>
      <c r="AU27" s="34">
        <f t="shared" si="11"/>
        <v>-1</v>
      </c>
    </row>
    <row r="28" spans="1:47" x14ac:dyDescent="0.2">
      <c r="A28" s="6" t="s">
        <v>217</v>
      </c>
      <c r="B28" s="34">
        <f t="shared" si="0"/>
        <v>0</v>
      </c>
      <c r="C28" s="34">
        <f t="shared" si="1"/>
        <v>0</v>
      </c>
      <c r="D28" s="34">
        <f t="shared" si="2"/>
        <v>0</v>
      </c>
      <c r="E28" s="34">
        <f t="shared" si="3"/>
        <v>0</v>
      </c>
      <c r="F28" s="34">
        <f t="shared" si="4"/>
        <v>0</v>
      </c>
      <c r="G28" s="34">
        <f t="shared" si="5"/>
        <v>0</v>
      </c>
      <c r="H28" s="34">
        <f t="shared" si="6"/>
        <v>0</v>
      </c>
      <c r="I28" s="34">
        <f t="shared" si="7"/>
        <v>0</v>
      </c>
      <c r="J28" s="34">
        <f t="shared" si="8"/>
        <v>0</v>
      </c>
      <c r="K28" s="34">
        <f t="shared" si="9"/>
        <v>-448</v>
      </c>
      <c r="L28" s="34">
        <f t="shared" si="12"/>
        <v>-1197</v>
      </c>
      <c r="M28" s="34">
        <f t="shared" si="27"/>
        <v>-2715</v>
      </c>
      <c r="N28" s="34">
        <v>-4697</v>
      </c>
      <c r="O28" s="34">
        <f>-12499</f>
        <v>-12499</v>
      </c>
      <c r="P28" s="34">
        <f>-17772</f>
        <v>-17772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-448</v>
      </c>
      <c r="AL28" s="34">
        <v>-423</v>
      </c>
      <c r="AM28" s="34">
        <v>-774</v>
      </c>
      <c r="AN28" s="34">
        <v>-802</v>
      </c>
      <c r="AO28" s="34">
        <v>-1913</v>
      </c>
      <c r="AP28" s="34">
        <v>-1119</v>
      </c>
      <c r="AQ28" s="34">
        <f t="shared" si="28"/>
        <v>-3578</v>
      </c>
      <c r="AR28" s="34">
        <f>-3207</f>
        <v>-3207</v>
      </c>
      <c r="AS28" s="34">
        <f t="shared" si="29"/>
        <v>-9292</v>
      </c>
      <c r="AT28" s="34">
        <f>-7818</f>
        <v>-7818</v>
      </c>
      <c r="AU28" s="34">
        <f t="shared" si="11"/>
        <v>-9954</v>
      </c>
    </row>
    <row r="29" spans="1:47" x14ac:dyDescent="0.2">
      <c r="A29" s="6" t="s">
        <v>218</v>
      </c>
      <c r="B29" s="34">
        <f t="shared" si="0"/>
        <v>-1425</v>
      </c>
      <c r="C29" s="34">
        <f t="shared" si="1"/>
        <v>-544</v>
      </c>
      <c r="D29" s="34">
        <f t="shared" si="2"/>
        <v>-337</v>
      </c>
      <c r="E29" s="34">
        <f t="shared" si="3"/>
        <v>-1164</v>
      </c>
      <c r="F29" s="34">
        <f t="shared" si="4"/>
        <v>-1182</v>
      </c>
      <c r="G29" s="34">
        <f t="shared" si="5"/>
        <v>-1538</v>
      </c>
      <c r="H29" s="34">
        <f t="shared" si="6"/>
        <v>-705</v>
      </c>
      <c r="I29" s="34">
        <f t="shared" si="7"/>
        <v>2781</v>
      </c>
      <c r="J29" s="34">
        <f t="shared" si="8"/>
        <v>4713</v>
      </c>
      <c r="K29" s="34">
        <f t="shared" si="9"/>
        <v>5496</v>
      </c>
      <c r="L29" s="34">
        <f t="shared" si="12"/>
        <v>7381</v>
      </c>
      <c r="M29" s="34">
        <f t="shared" si="27"/>
        <v>9131</v>
      </c>
      <c r="N29" s="34">
        <v>12961</v>
      </c>
      <c r="O29" s="34">
        <f>25823</f>
        <v>25823</v>
      </c>
      <c r="P29" s="34">
        <f>48402</f>
        <v>48402</v>
      </c>
      <c r="R29" s="34">
        <v>-212</v>
      </c>
      <c r="S29" s="34">
        <v>-1213</v>
      </c>
      <c r="T29" s="34">
        <v>-237</v>
      </c>
      <c r="U29" s="34">
        <v>-307</v>
      </c>
      <c r="V29" s="34">
        <v>-319</v>
      </c>
      <c r="W29" s="34">
        <v>-18</v>
      </c>
      <c r="X29" s="34">
        <v>-149</v>
      </c>
      <c r="Y29" s="34">
        <v>-1015</v>
      </c>
      <c r="Z29" s="34">
        <v>-405</v>
      </c>
      <c r="AA29" s="34">
        <v>-777</v>
      </c>
      <c r="AB29" s="34">
        <v>-739</v>
      </c>
      <c r="AC29" s="34">
        <v>-799</v>
      </c>
      <c r="AD29" s="34">
        <v>-346</v>
      </c>
      <c r="AE29" s="34">
        <v>-359</v>
      </c>
      <c r="AF29" s="34">
        <v>1088</v>
      </c>
      <c r="AG29" s="34">
        <v>1693</v>
      </c>
      <c r="AH29" s="34">
        <v>2113</v>
      </c>
      <c r="AI29" s="34">
        <v>2600</v>
      </c>
      <c r="AJ29" s="34">
        <v>2891</v>
      </c>
      <c r="AK29" s="34">
        <v>2605</v>
      </c>
      <c r="AL29" s="34">
        <v>3705</v>
      </c>
      <c r="AM29" s="34">
        <v>3676</v>
      </c>
      <c r="AN29" s="34">
        <v>4270</v>
      </c>
      <c r="AO29" s="34">
        <v>4861</v>
      </c>
      <c r="AP29" s="34">
        <v>5627</v>
      </c>
      <c r="AQ29" s="34">
        <f t="shared" si="28"/>
        <v>7334</v>
      </c>
      <c r="AR29" s="34">
        <f>9746</f>
        <v>9746</v>
      </c>
      <c r="AS29" s="34">
        <f t="shared" si="29"/>
        <v>16077</v>
      </c>
      <c r="AT29" s="34">
        <f>25087</f>
        <v>25087</v>
      </c>
      <c r="AU29" s="34">
        <f t="shared" si="11"/>
        <v>23315</v>
      </c>
    </row>
    <row r="30" spans="1:47" x14ac:dyDescent="0.2">
      <c r="A30" s="6" t="s">
        <v>141</v>
      </c>
      <c r="B30" s="34">
        <f t="shared" si="0"/>
        <v>1585</v>
      </c>
      <c r="C30" s="34">
        <f t="shared" si="1"/>
        <v>1526</v>
      </c>
      <c r="D30" s="34">
        <f t="shared" si="2"/>
        <v>1833</v>
      </c>
      <c r="E30" s="34">
        <f t="shared" si="3"/>
        <v>2026</v>
      </c>
      <c r="F30" s="34">
        <f t="shared" si="4"/>
        <v>2002</v>
      </c>
      <c r="G30" s="34">
        <f t="shared" si="5"/>
        <v>1654</v>
      </c>
      <c r="H30" s="34">
        <f t="shared" si="6"/>
        <v>2524</v>
      </c>
      <c r="I30" s="34">
        <f t="shared" si="7"/>
        <v>1123</v>
      </c>
      <c r="J30" s="34">
        <f t="shared" si="8"/>
        <v>1585</v>
      </c>
      <c r="K30" s="34">
        <f t="shared" si="9"/>
        <v>2686</v>
      </c>
      <c r="L30" s="34">
        <f t="shared" si="12"/>
        <v>2842</v>
      </c>
      <c r="M30" s="34">
        <f t="shared" si="27"/>
        <v>2886</v>
      </c>
      <c r="N30" s="34">
        <v>2416</v>
      </c>
      <c r="O30" s="34">
        <f>-179</f>
        <v>-179</v>
      </c>
      <c r="P30" s="34">
        <v>-2633</v>
      </c>
      <c r="R30" s="34">
        <v>804</v>
      </c>
      <c r="S30" s="34">
        <v>781</v>
      </c>
      <c r="T30" s="34">
        <v>651</v>
      </c>
      <c r="U30" s="34">
        <v>875</v>
      </c>
      <c r="V30" s="34">
        <v>822</v>
      </c>
      <c r="W30" s="34">
        <v>1011</v>
      </c>
      <c r="X30" s="34">
        <v>302</v>
      </c>
      <c r="Y30" s="34">
        <v>1724</v>
      </c>
      <c r="Z30" s="34">
        <v>795</v>
      </c>
      <c r="AA30" s="34">
        <v>1207</v>
      </c>
      <c r="AB30" s="34">
        <v>117</v>
      </c>
      <c r="AC30" s="34">
        <v>1537</v>
      </c>
      <c r="AD30" s="34">
        <v>754</v>
      </c>
      <c r="AE30" s="34">
        <v>1770</v>
      </c>
      <c r="AF30" s="34">
        <v>-369</v>
      </c>
      <c r="AG30" s="34">
        <v>1492</v>
      </c>
      <c r="AH30" s="34">
        <v>857</v>
      </c>
      <c r="AI30" s="34">
        <v>728</v>
      </c>
      <c r="AJ30" s="34">
        <v>1082</v>
      </c>
      <c r="AK30" s="34">
        <v>1604</v>
      </c>
      <c r="AL30" s="34">
        <v>1461</v>
      </c>
      <c r="AM30" s="34">
        <v>1381</v>
      </c>
      <c r="AN30" s="34">
        <v>1414</v>
      </c>
      <c r="AO30" s="34">
        <v>1472</v>
      </c>
      <c r="AP30" s="34">
        <v>502</v>
      </c>
      <c r="AQ30" s="34">
        <f t="shared" si="28"/>
        <v>1914</v>
      </c>
      <c r="AR30" s="34">
        <f>811</f>
        <v>811</v>
      </c>
      <c r="AS30" s="34">
        <f t="shared" si="29"/>
        <v>-990</v>
      </c>
      <c r="AT30" s="34">
        <f>-1434</f>
        <v>-1434</v>
      </c>
      <c r="AU30" s="34">
        <f t="shared" si="11"/>
        <v>-1199</v>
      </c>
    </row>
    <row r="31" spans="1:47" ht="15" x14ac:dyDescent="0.25">
      <c r="A31" s="73" t="s">
        <v>219</v>
      </c>
      <c r="B31" s="78">
        <f t="shared" si="0"/>
        <v>7750</v>
      </c>
      <c r="C31" s="78">
        <f t="shared" si="1"/>
        <v>6378</v>
      </c>
      <c r="D31" s="78">
        <f t="shared" si="2"/>
        <v>8488</v>
      </c>
      <c r="E31" s="78">
        <f t="shared" si="3"/>
        <v>10342</v>
      </c>
      <c r="F31" s="78">
        <f t="shared" si="4"/>
        <v>7319</v>
      </c>
      <c r="G31" s="78">
        <f t="shared" si="5"/>
        <v>5522</v>
      </c>
      <c r="H31" s="78">
        <f t="shared" si="6"/>
        <v>11625</v>
      </c>
      <c r="I31" s="78">
        <f t="shared" si="7"/>
        <v>5773</v>
      </c>
      <c r="J31" s="78">
        <f t="shared" si="8"/>
        <v>6085</v>
      </c>
      <c r="K31" s="78">
        <f t="shared" si="9"/>
        <v>10181</v>
      </c>
      <c r="L31" s="78">
        <f t="shared" si="12"/>
        <v>11719</v>
      </c>
      <c r="M31" s="78">
        <f t="shared" si="27"/>
        <v>12320</v>
      </c>
      <c r="N31" s="78">
        <v>11070</v>
      </c>
      <c r="O31" s="78">
        <f>13066</f>
        <v>13066</v>
      </c>
      <c r="P31" s="78">
        <v>8709</v>
      </c>
      <c r="Q31" s="40"/>
      <c r="R31" s="78">
        <v>3388</v>
      </c>
      <c r="S31" s="78">
        <v>4362</v>
      </c>
      <c r="T31" s="78">
        <v>2965</v>
      </c>
      <c r="U31" s="78">
        <v>3413</v>
      </c>
      <c r="V31" s="78">
        <v>3742</v>
      </c>
      <c r="W31" s="78">
        <v>4746</v>
      </c>
      <c r="X31" s="78">
        <v>1383</v>
      </c>
      <c r="Y31" s="78">
        <v>8959</v>
      </c>
      <c r="Z31" s="78">
        <v>3012</v>
      </c>
      <c r="AA31" s="78">
        <v>4307</v>
      </c>
      <c r="AB31" s="78">
        <v>1236</v>
      </c>
      <c r="AC31" s="78">
        <v>4286</v>
      </c>
      <c r="AD31" s="78">
        <v>3038</v>
      </c>
      <c r="AE31" s="78">
        <v>8587</v>
      </c>
      <c r="AF31" s="78">
        <v>1496</v>
      </c>
      <c r="AG31" s="78">
        <v>4277</v>
      </c>
      <c r="AH31" s="78">
        <v>3694</v>
      </c>
      <c r="AI31" s="78">
        <v>2391</v>
      </c>
      <c r="AJ31" s="78">
        <v>2984</v>
      </c>
      <c r="AK31" s="78">
        <v>7197</v>
      </c>
      <c r="AL31" s="78">
        <v>5190</v>
      </c>
      <c r="AM31" s="78">
        <v>6529</v>
      </c>
      <c r="AN31" s="78">
        <f>SUM(AN7:AN30)</f>
        <v>3944</v>
      </c>
      <c r="AO31" s="78">
        <v>8376</v>
      </c>
      <c r="AP31" s="78">
        <f>SUM(AP7:AP30)</f>
        <v>4385</v>
      </c>
      <c r="AQ31" s="78">
        <f t="shared" si="28"/>
        <v>6685</v>
      </c>
      <c r="AR31" s="78">
        <f>SUM(AR7:AR30)</f>
        <v>9302</v>
      </c>
      <c r="AS31" s="78">
        <f t="shared" si="29"/>
        <v>3764</v>
      </c>
      <c r="AT31" s="78">
        <f t="shared" ref="AT31" si="30">SUM(AT7:AT30)</f>
        <v>5748</v>
      </c>
      <c r="AU31" s="78">
        <f t="shared" si="11"/>
        <v>2961</v>
      </c>
    </row>
    <row r="32" spans="1:47" x14ac:dyDescent="0.2">
      <c r="A32" s="6" t="s">
        <v>220</v>
      </c>
      <c r="B32" s="34">
        <f t="shared" si="0"/>
        <v>-5308</v>
      </c>
      <c r="C32" s="34">
        <f t="shared" si="1"/>
        <v>-7633</v>
      </c>
      <c r="D32" s="34">
        <f t="shared" si="2"/>
        <v>-7837</v>
      </c>
      <c r="E32" s="34">
        <f t="shared" si="3"/>
        <v>-6890</v>
      </c>
      <c r="F32" s="34">
        <f t="shared" si="4"/>
        <v>-8255</v>
      </c>
      <c r="G32" s="34">
        <f t="shared" si="5"/>
        <v>-1780</v>
      </c>
      <c r="H32" s="34">
        <f t="shared" si="6"/>
        <v>-1009</v>
      </c>
      <c r="I32" s="34">
        <f t="shared" si="7"/>
        <v>3582</v>
      </c>
      <c r="J32" s="34">
        <f t="shared" si="8"/>
        <v>12506</v>
      </c>
      <c r="K32" s="34">
        <f t="shared" si="9"/>
        <v>-15619</v>
      </c>
      <c r="L32" s="34">
        <f t="shared" si="12"/>
        <v>3211</v>
      </c>
      <c r="M32" s="34">
        <f t="shared" si="27"/>
        <v>-24897</v>
      </c>
      <c r="N32" s="34">
        <v>-9780</v>
      </c>
      <c r="O32" s="34">
        <f>3224</f>
        <v>3224</v>
      </c>
      <c r="P32" s="34">
        <v>-3361</v>
      </c>
      <c r="R32" s="34">
        <v>-1772</v>
      </c>
      <c r="S32" s="34">
        <v>-3536</v>
      </c>
      <c r="T32" s="34">
        <v>-2082</v>
      </c>
      <c r="U32" s="34">
        <v>-5551</v>
      </c>
      <c r="V32" s="34">
        <v>-1957</v>
      </c>
      <c r="W32" s="34">
        <v>-5880</v>
      </c>
      <c r="X32" s="34">
        <v>-6763</v>
      </c>
      <c r="Y32" s="34">
        <v>-127</v>
      </c>
      <c r="Z32" s="34">
        <v>-2418</v>
      </c>
      <c r="AA32" s="34">
        <v>-5837</v>
      </c>
      <c r="AB32" s="34">
        <v>-502</v>
      </c>
      <c r="AC32" s="34">
        <v>-1278</v>
      </c>
      <c r="AD32" s="34">
        <v>-582</v>
      </c>
      <c r="AE32" s="34">
        <v>-427</v>
      </c>
      <c r="AF32" s="34">
        <v>-4833</v>
      </c>
      <c r="AG32" s="34">
        <v>8415</v>
      </c>
      <c r="AH32" s="34">
        <v>7357</v>
      </c>
      <c r="AI32" s="34">
        <v>5149</v>
      </c>
      <c r="AJ32" s="34">
        <v>2781</v>
      </c>
      <c r="AK32" s="34">
        <v>-18400</v>
      </c>
      <c r="AL32" s="34">
        <v>3242</v>
      </c>
      <c r="AM32" s="34">
        <v>-31</v>
      </c>
      <c r="AN32" s="34">
        <v>-14724</v>
      </c>
      <c r="AO32" s="34">
        <v>-10173</v>
      </c>
      <c r="AP32" s="34">
        <f>-11430</f>
        <v>-11430</v>
      </c>
      <c r="AQ32" s="34">
        <f t="shared" si="28"/>
        <v>1650</v>
      </c>
      <c r="AR32" s="34">
        <f>9449</f>
        <v>9449</v>
      </c>
      <c r="AS32" s="34">
        <f t="shared" si="29"/>
        <v>-6225</v>
      </c>
      <c r="AT32" s="34">
        <v>8759</v>
      </c>
      <c r="AU32" s="34">
        <f t="shared" si="11"/>
        <v>-12120</v>
      </c>
    </row>
    <row r="33" spans="1:47" x14ac:dyDescent="0.2">
      <c r="A33" s="6" t="s">
        <v>221</v>
      </c>
      <c r="B33" s="34">
        <f t="shared" si="0"/>
        <v>-2893</v>
      </c>
      <c r="C33" s="34">
        <f t="shared" si="1"/>
        <v>-3024</v>
      </c>
      <c r="D33" s="34">
        <f t="shared" si="2"/>
        <v>-5080</v>
      </c>
      <c r="E33" s="34">
        <f t="shared" si="3"/>
        <v>-1427</v>
      </c>
      <c r="F33" s="34">
        <f t="shared" si="4"/>
        <v>-3899</v>
      </c>
      <c r="G33" s="34">
        <f t="shared" si="5"/>
        <v>-3746</v>
      </c>
      <c r="H33" s="34">
        <f t="shared" si="6"/>
        <v>-6953</v>
      </c>
      <c r="I33" s="34">
        <f t="shared" si="7"/>
        <v>9036</v>
      </c>
      <c r="J33" s="34">
        <f t="shared" si="8"/>
        <v>544</v>
      </c>
      <c r="K33" s="34">
        <f t="shared" si="9"/>
        <v>2642</v>
      </c>
      <c r="L33" s="34">
        <f t="shared" si="12"/>
        <v>-2386</v>
      </c>
      <c r="M33" s="34">
        <f t="shared" si="27"/>
        <v>-2212</v>
      </c>
      <c r="N33" s="34">
        <v>-49</v>
      </c>
      <c r="O33" s="34">
        <f>-14889</f>
        <v>-14889</v>
      </c>
      <c r="P33" s="34">
        <v>-829</v>
      </c>
      <c r="R33" s="34">
        <v>-915</v>
      </c>
      <c r="S33" s="34">
        <v>-1978</v>
      </c>
      <c r="T33" s="34">
        <v>-401</v>
      </c>
      <c r="U33" s="34">
        <v>-2623</v>
      </c>
      <c r="V33" s="34">
        <v>-3243</v>
      </c>
      <c r="W33" s="34">
        <v>-1837</v>
      </c>
      <c r="X33" s="34">
        <v>-2093</v>
      </c>
      <c r="Y33" s="34">
        <v>666</v>
      </c>
      <c r="Z33" s="34">
        <v>-366</v>
      </c>
      <c r="AA33" s="34">
        <v>-3533</v>
      </c>
      <c r="AB33" s="34">
        <v>-2381</v>
      </c>
      <c r="AC33" s="34">
        <v>-1365</v>
      </c>
      <c r="AD33" s="34">
        <v>-7998</v>
      </c>
      <c r="AE33" s="34">
        <v>1045</v>
      </c>
      <c r="AF33" s="34">
        <v>4391</v>
      </c>
      <c r="AG33" s="34">
        <v>4645</v>
      </c>
      <c r="AH33" s="34">
        <v>-1862</v>
      </c>
      <c r="AI33" s="34">
        <v>2406</v>
      </c>
      <c r="AJ33" s="34">
        <v>2635</v>
      </c>
      <c r="AK33" s="34">
        <v>7</v>
      </c>
      <c r="AL33" s="34">
        <v>-3421</v>
      </c>
      <c r="AM33" s="34">
        <v>1035</v>
      </c>
      <c r="AN33" s="34">
        <v>1075</v>
      </c>
      <c r="AO33" s="34">
        <v>-3287</v>
      </c>
      <c r="AP33" s="34">
        <v>-2847</v>
      </c>
      <c r="AQ33" s="34">
        <f t="shared" si="28"/>
        <v>2798</v>
      </c>
      <c r="AR33" s="34">
        <f>-7296</f>
        <v>-7296</v>
      </c>
      <c r="AS33" s="34">
        <f t="shared" si="29"/>
        <v>-7593</v>
      </c>
      <c r="AT33" s="34">
        <f>-2591</f>
        <v>-2591</v>
      </c>
      <c r="AU33" s="34">
        <f t="shared" si="11"/>
        <v>1762</v>
      </c>
    </row>
    <row r="34" spans="1:47" x14ac:dyDescent="0.2">
      <c r="A34" s="6" t="s">
        <v>224</v>
      </c>
      <c r="B34" s="34">
        <f>SUM(R34:S34)</f>
        <v>0</v>
      </c>
      <c r="C34" s="34">
        <f>SUM(T34:U34)</f>
        <v>0</v>
      </c>
      <c r="D34" s="34">
        <f>SUM(V34:W34)</f>
        <v>0</v>
      </c>
      <c r="E34" s="34">
        <f>SUM(X34:Y34)</f>
        <v>0</v>
      </c>
      <c r="F34" s="34">
        <f>SUM(Z34:AA34)</f>
        <v>0</v>
      </c>
      <c r="G34" s="34">
        <f>SUM(AB34:AC34)</f>
        <v>0</v>
      </c>
      <c r="H34" s="34">
        <f>SUM(AD34:AE34)</f>
        <v>-203</v>
      </c>
      <c r="I34" s="34">
        <f>SUM(AF34:AG34)</f>
        <v>-57</v>
      </c>
      <c r="J34" s="34">
        <f>SUM(AH34:AI34)</f>
        <v>-1219</v>
      </c>
      <c r="K34" s="34">
        <f>SUM(AJ34:AK34)</f>
        <v>-4675</v>
      </c>
      <c r="L34" s="34">
        <f>SUM(AL34:AM34)</f>
        <v>-18194</v>
      </c>
      <c r="M34" s="34">
        <f t="shared" si="27"/>
        <v>-24029</v>
      </c>
      <c r="N34" s="34">
        <v>-25990</v>
      </c>
      <c r="O34" s="34">
        <f>-71504</f>
        <v>-71504</v>
      </c>
      <c r="P34" s="34">
        <f>-71068</f>
        <v>-71068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-991</v>
      </c>
      <c r="AE34" s="34">
        <v>788</v>
      </c>
      <c r="AF34" s="34">
        <v>1023</v>
      </c>
      <c r="AG34" s="34">
        <v>-1080</v>
      </c>
      <c r="AH34" s="34">
        <v>-333</v>
      </c>
      <c r="AI34" s="34">
        <v>-886</v>
      </c>
      <c r="AJ34" s="34">
        <v>-1513</v>
      </c>
      <c r="AK34" s="34">
        <v>-3162</v>
      </c>
      <c r="AL34" s="34">
        <v>-5237</v>
      </c>
      <c r="AM34" s="34">
        <v>-12957</v>
      </c>
      <c r="AN34" s="34">
        <v>-8788</v>
      </c>
      <c r="AO34" s="34">
        <v>-15241</v>
      </c>
      <c r="AP34" s="34">
        <v>-5641</v>
      </c>
      <c r="AQ34" s="34">
        <f t="shared" si="28"/>
        <v>-20349</v>
      </c>
      <c r="AR34" s="34">
        <f>-30474</f>
        <v>-30474</v>
      </c>
      <c r="AS34" s="34">
        <f t="shared" si="29"/>
        <v>-41030</v>
      </c>
      <c r="AT34" s="34">
        <f>-38402</f>
        <v>-38402</v>
      </c>
      <c r="AU34" s="34">
        <f t="shared" si="11"/>
        <v>-32666</v>
      </c>
    </row>
    <row r="35" spans="1:47" x14ac:dyDescent="0.2">
      <c r="A35" s="6" t="s">
        <v>311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>
        <f>-1360</f>
        <v>-1360</v>
      </c>
      <c r="P35" s="34">
        <f>-141</f>
        <v>-141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>
        <f>-1182</f>
        <v>-1182</v>
      </c>
      <c r="AS35" s="34">
        <f t="shared" si="29"/>
        <v>-178</v>
      </c>
      <c r="AT35" s="34">
        <f>114</f>
        <v>114</v>
      </c>
      <c r="AU35" s="34">
        <f t="shared" si="11"/>
        <v>-255</v>
      </c>
    </row>
    <row r="36" spans="1:47" x14ac:dyDescent="0.2">
      <c r="A36" s="6" t="s">
        <v>312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>
        <f>-1137</f>
        <v>-1137</v>
      </c>
      <c r="P36" s="34">
        <f>413</f>
        <v>413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>
        <f>-2000</f>
        <v>-2000</v>
      </c>
      <c r="AS36" s="34">
        <f t="shared" si="29"/>
        <v>863</v>
      </c>
      <c r="AT36" s="34">
        <f>407</f>
        <v>407</v>
      </c>
      <c r="AU36" s="34">
        <f t="shared" si="11"/>
        <v>6</v>
      </c>
    </row>
    <row r="37" spans="1:47" x14ac:dyDescent="0.2">
      <c r="A37" s="6" t="s">
        <v>222</v>
      </c>
      <c r="B37" s="34">
        <f t="shared" si="0"/>
        <v>-818</v>
      </c>
      <c r="C37" s="34">
        <f t="shared" si="1"/>
        <v>4074</v>
      </c>
      <c r="D37" s="34">
        <f t="shared" si="2"/>
        <v>4880</v>
      </c>
      <c r="E37" s="34">
        <f t="shared" si="3"/>
        <v>1184</v>
      </c>
      <c r="F37" s="34">
        <f t="shared" si="4"/>
        <v>2369</v>
      </c>
      <c r="G37" s="34">
        <f t="shared" si="5"/>
        <v>7812</v>
      </c>
      <c r="H37" s="34">
        <f t="shared" si="6"/>
        <v>161</v>
      </c>
      <c r="I37" s="34">
        <f t="shared" si="7"/>
        <v>-65</v>
      </c>
      <c r="J37" s="34">
        <f t="shared" si="8"/>
        <v>-9511</v>
      </c>
      <c r="K37" s="34">
        <f t="shared" si="9"/>
        <v>24390</v>
      </c>
      <c r="L37" s="34">
        <f t="shared" si="12"/>
        <v>5937</v>
      </c>
      <c r="M37" s="34">
        <f t="shared" ref="M37:M44" si="31">SUM(AN37:AO37)</f>
        <v>2424</v>
      </c>
      <c r="N37" s="34">
        <v>-4994</v>
      </c>
      <c r="O37" s="34">
        <f>-11221</f>
        <v>-11221</v>
      </c>
      <c r="P37" s="34">
        <v>969</v>
      </c>
      <c r="R37" s="34">
        <v>-437</v>
      </c>
      <c r="S37" s="34">
        <v>-381</v>
      </c>
      <c r="T37" s="34">
        <v>1434</v>
      </c>
      <c r="U37" s="34">
        <v>2640</v>
      </c>
      <c r="V37" s="34">
        <v>1478</v>
      </c>
      <c r="W37" s="34">
        <v>3402</v>
      </c>
      <c r="X37" s="34">
        <v>10135</v>
      </c>
      <c r="Y37" s="34">
        <v>-8951</v>
      </c>
      <c r="Z37" s="34">
        <v>-1461</v>
      </c>
      <c r="AA37" s="34">
        <v>3830</v>
      </c>
      <c r="AB37" s="34">
        <v>8519</v>
      </c>
      <c r="AC37" s="34">
        <v>-707</v>
      </c>
      <c r="AD37" s="34">
        <v>-1024</v>
      </c>
      <c r="AE37" s="34">
        <v>1185</v>
      </c>
      <c r="AF37" s="34">
        <v>-2068</v>
      </c>
      <c r="AG37" s="34">
        <v>2003</v>
      </c>
      <c r="AH37" s="34">
        <v>-9286</v>
      </c>
      <c r="AI37" s="34">
        <v>-225</v>
      </c>
      <c r="AJ37" s="34">
        <v>-2870</v>
      </c>
      <c r="AK37" s="34">
        <v>27260</v>
      </c>
      <c r="AL37" s="34">
        <v>2062</v>
      </c>
      <c r="AM37" s="34">
        <v>3875</v>
      </c>
      <c r="AN37" s="34">
        <v>2401</v>
      </c>
      <c r="AO37" s="34">
        <v>23</v>
      </c>
      <c r="AP37" s="34">
        <v>-1810</v>
      </c>
      <c r="AQ37" s="34">
        <f t="shared" ref="AQ37:AQ44" si="32">N37-AP37</f>
        <v>-3184</v>
      </c>
      <c r="AR37" s="34">
        <f>-16092</f>
        <v>-16092</v>
      </c>
      <c r="AS37" s="34">
        <f t="shared" si="29"/>
        <v>4871</v>
      </c>
      <c r="AT37" s="34">
        <v>-629</v>
      </c>
      <c r="AU37" s="34">
        <f t="shared" si="11"/>
        <v>1598</v>
      </c>
    </row>
    <row r="38" spans="1:47" x14ac:dyDescent="0.2">
      <c r="A38" s="6" t="s">
        <v>225</v>
      </c>
      <c r="B38" s="34">
        <f>SUM(R38:S38)</f>
        <v>0</v>
      </c>
      <c r="C38" s="34">
        <f>SUM(T38:U38)</f>
        <v>0</v>
      </c>
      <c r="D38" s="34">
        <f>SUM(V38:W38)</f>
        <v>0</v>
      </c>
      <c r="E38" s="34">
        <f>SUM(X38:Y38)</f>
        <v>0</v>
      </c>
      <c r="F38" s="34">
        <f>SUM(Z38:AA38)</f>
        <v>0</v>
      </c>
      <c r="G38" s="34">
        <f>SUM(AB38:AC38)</f>
        <v>0</v>
      </c>
      <c r="H38" s="34">
        <f>SUM(AD38:AE38)</f>
        <v>1329</v>
      </c>
      <c r="I38" s="34">
        <f>SUM(AF38:AG38)</f>
        <v>1500</v>
      </c>
      <c r="J38" s="34">
        <f>SUM(AH38:AI38)</f>
        <v>9290</v>
      </c>
      <c r="K38" s="34">
        <f>SUM(AJ38:AK38)</f>
        <v>-8088</v>
      </c>
      <c r="L38" s="34">
        <f>SUM(AL38:AM38)</f>
        <v>-14194</v>
      </c>
      <c r="M38" s="34">
        <f t="shared" si="31"/>
        <v>-3577</v>
      </c>
      <c r="N38" s="34">
        <v>-3291</v>
      </c>
      <c r="O38" s="34">
        <f>4035</f>
        <v>4035</v>
      </c>
      <c r="P38" s="34">
        <f>-3184</f>
        <v>-3184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7727</v>
      </c>
      <c r="AE38" s="34">
        <v>-6398</v>
      </c>
      <c r="AF38" s="34">
        <v>8492</v>
      </c>
      <c r="AG38" s="34">
        <v>-6992</v>
      </c>
      <c r="AH38" s="34">
        <v>13454</v>
      </c>
      <c r="AI38" s="34">
        <v>-4164</v>
      </c>
      <c r="AJ38" s="34">
        <v>-3210</v>
      </c>
      <c r="AK38" s="34">
        <v>-4878</v>
      </c>
      <c r="AL38" s="34">
        <v>-6266</v>
      </c>
      <c r="AM38" s="34">
        <v>-7928</v>
      </c>
      <c r="AN38" s="34">
        <v>-674</v>
      </c>
      <c r="AO38" s="34">
        <v>-2903</v>
      </c>
      <c r="AP38" s="34">
        <v>2724</v>
      </c>
      <c r="AQ38" s="34">
        <f t="shared" si="32"/>
        <v>-6015</v>
      </c>
      <c r="AR38" s="34">
        <f>3849</f>
        <v>3849</v>
      </c>
      <c r="AS38" s="34">
        <f t="shared" si="29"/>
        <v>186</v>
      </c>
      <c r="AT38" s="34">
        <f>969</f>
        <v>969</v>
      </c>
      <c r="AU38" s="34">
        <f t="shared" si="11"/>
        <v>-4153</v>
      </c>
    </row>
    <row r="39" spans="1:47" x14ac:dyDescent="0.2">
      <c r="A39" s="6" t="s">
        <v>223</v>
      </c>
      <c r="B39" s="34">
        <f t="shared" si="0"/>
        <v>367</v>
      </c>
      <c r="C39" s="34">
        <f t="shared" si="1"/>
        <v>-992</v>
      </c>
      <c r="D39" s="34">
        <f t="shared" si="2"/>
        <v>1109</v>
      </c>
      <c r="E39" s="34">
        <f t="shared" si="3"/>
        <v>594</v>
      </c>
      <c r="F39" s="34">
        <f t="shared" si="4"/>
        <v>1315</v>
      </c>
      <c r="G39" s="34">
        <f t="shared" si="5"/>
        <v>-1808</v>
      </c>
      <c r="H39" s="34">
        <f t="shared" si="6"/>
        <v>112</v>
      </c>
      <c r="I39" s="34">
        <f t="shared" si="7"/>
        <v>-883</v>
      </c>
      <c r="J39" s="34">
        <f t="shared" si="8"/>
        <v>-420</v>
      </c>
      <c r="K39" s="34">
        <f t="shared" si="9"/>
        <v>-278</v>
      </c>
      <c r="L39" s="34">
        <f t="shared" si="12"/>
        <v>108</v>
      </c>
      <c r="M39" s="34">
        <f t="shared" si="31"/>
        <v>-28</v>
      </c>
      <c r="N39" s="34">
        <v>-2964</v>
      </c>
      <c r="O39" s="34">
        <f>3403</f>
        <v>3403</v>
      </c>
      <c r="P39" s="34">
        <v>8225</v>
      </c>
      <c r="R39" s="34">
        <v>-151</v>
      </c>
      <c r="S39" s="34">
        <v>518</v>
      </c>
      <c r="T39" s="34">
        <v>-410</v>
      </c>
      <c r="U39" s="34">
        <v>-582</v>
      </c>
      <c r="V39" s="34">
        <v>-317</v>
      </c>
      <c r="W39" s="34">
        <v>1426</v>
      </c>
      <c r="X39" s="34">
        <v>-324</v>
      </c>
      <c r="Y39" s="34">
        <v>918</v>
      </c>
      <c r="Z39" s="34">
        <v>-600</v>
      </c>
      <c r="AA39" s="34">
        <v>1915</v>
      </c>
      <c r="AB39" s="34">
        <v>-1694</v>
      </c>
      <c r="AC39" s="34">
        <v>-114</v>
      </c>
      <c r="AD39" s="34">
        <v>-261</v>
      </c>
      <c r="AE39" s="34">
        <v>373</v>
      </c>
      <c r="AF39" s="34">
        <v>-654</v>
      </c>
      <c r="AG39" s="34">
        <v>-229</v>
      </c>
      <c r="AH39" s="34">
        <v>-316</v>
      </c>
      <c r="AI39" s="34">
        <v>-104</v>
      </c>
      <c r="AJ39" s="34">
        <v>0</v>
      </c>
      <c r="AK39" s="34">
        <v>-278</v>
      </c>
      <c r="AL39" s="34">
        <v>449</v>
      </c>
      <c r="AM39" s="34">
        <v>-341</v>
      </c>
      <c r="AN39" s="34">
        <v>617</v>
      </c>
      <c r="AO39" s="34">
        <v>-645</v>
      </c>
      <c r="AP39" s="34">
        <v>-327</v>
      </c>
      <c r="AQ39" s="34">
        <f t="shared" si="32"/>
        <v>-2637</v>
      </c>
      <c r="AR39" s="34">
        <f>236</f>
        <v>236</v>
      </c>
      <c r="AS39" s="34">
        <f t="shared" si="29"/>
        <v>3167</v>
      </c>
      <c r="AT39" s="34">
        <f>976</f>
        <v>976</v>
      </c>
      <c r="AU39" s="34">
        <f t="shared" si="11"/>
        <v>7249</v>
      </c>
    </row>
    <row r="40" spans="1:47" x14ac:dyDescent="0.2">
      <c r="A40" s="6" t="s">
        <v>226</v>
      </c>
      <c r="B40" s="34">
        <f t="shared" si="0"/>
        <v>24</v>
      </c>
      <c r="C40" s="34">
        <f t="shared" si="1"/>
        <v>3</v>
      </c>
      <c r="D40" s="34">
        <f t="shared" si="2"/>
        <v>25</v>
      </c>
      <c r="E40" s="34">
        <f t="shared" si="3"/>
        <v>-59</v>
      </c>
      <c r="F40" s="34">
        <f t="shared" si="4"/>
        <v>0</v>
      </c>
      <c r="G40" s="34">
        <f t="shared" si="5"/>
        <v>0</v>
      </c>
      <c r="H40" s="34">
        <f t="shared" si="6"/>
        <v>0</v>
      </c>
      <c r="I40" s="34">
        <f t="shared" si="7"/>
        <v>0</v>
      </c>
      <c r="J40" s="34">
        <f t="shared" si="8"/>
        <v>0</v>
      </c>
      <c r="K40" s="34">
        <f t="shared" si="9"/>
        <v>0</v>
      </c>
      <c r="L40" s="34">
        <f t="shared" si="12"/>
        <v>0</v>
      </c>
      <c r="M40" s="34">
        <f t="shared" si="31"/>
        <v>0</v>
      </c>
      <c r="N40" s="34">
        <f>SUM(AO40:AP40)</f>
        <v>0</v>
      </c>
      <c r="O40" s="34">
        <f>0</f>
        <v>0</v>
      </c>
      <c r="P40" s="34">
        <f>0</f>
        <v>0</v>
      </c>
      <c r="R40" s="34">
        <v>28</v>
      </c>
      <c r="S40" s="34">
        <v>-4</v>
      </c>
      <c r="T40" s="34">
        <v>21</v>
      </c>
      <c r="U40" s="34">
        <v>-18</v>
      </c>
      <c r="V40" s="34">
        <v>12</v>
      </c>
      <c r="W40" s="34">
        <v>13</v>
      </c>
      <c r="X40" s="34">
        <v>-11</v>
      </c>
      <c r="Y40" s="34">
        <v>-48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>
        <v>0</v>
      </c>
      <c r="AH40" s="34"/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f t="shared" si="32"/>
        <v>0</v>
      </c>
      <c r="AR40" s="34">
        <f>0</f>
        <v>0</v>
      </c>
      <c r="AS40" s="34">
        <f t="shared" si="29"/>
        <v>0</v>
      </c>
      <c r="AT40" s="34">
        <f>0</f>
        <v>0</v>
      </c>
      <c r="AU40" s="34">
        <f t="shared" si="11"/>
        <v>0</v>
      </c>
    </row>
    <row r="41" spans="1:47" ht="15" x14ac:dyDescent="0.25">
      <c r="A41" s="73" t="s">
        <v>227</v>
      </c>
      <c r="B41" s="78">
        <f t="shared" si="0"/>
        <v>-878</v>
      </c>
      <c r="C41" s="78">
        <f t="shared" si="1"/>
        <v>-1194</v>
      </c>
      <c r="D41" s="78">
        <f t="shared" si="2"/>
        <v>1585</v>
      </c>
      <c r="E41" s="78">
        <f t="shared" si="3"/>
        <v>3744</v>
      </c>
      <c r="F41" s="78">
        <f t="shared" si="4"/>
        <v>-1151</v>
      </c>
      <c r="G41" s="78">
        <f t="shared" si="5"/>
        <v>6000</v>
      </c>
      <c r="H41" s="78">
        <f t="shared" si="6"/>
        <v>5062</v>
      </c>
      <c r="I41" s="78">
        <f t="shared" si="7"/>
        <v>18886</v>
      </c>
      <c r="J41" s="78">
        <f t="shared" si="8"/>
        <v>17275</v>
      </c>
      <c r="K41" s="78">
        <f t="shared" si="9"/>
        <v>8553</v>
      </c>
      <c r="L41" s="78">
        <f t="shared" si="12"/>
        <v>-13799</v>
      </c>
      <c r="M41" s="78">
        <f t="shared" si="31"/>
        <v>-39999</v>
      </c>
      <c r="N41" s="78">
        <f>SUM(N31:N40)</f>
        <v>-35998</v>
      </c>
      <c r="O41" s="78">
        <f>SUM(O31:O40)</f>
        <v>-76383</v>
      </c>
      <c r="P41" s="78">
        <f>SUM(P31:P40)</f>
        <v>-60267</v>
      </c>
      <c r="Q41" s="40"/>
      <c r="R41" s="78">
        <v>141</v>
      </c>
      <c r="S41" s="78">
        <v>-1019</v>
      </c>
      <c r="T41" s="78">
        <v>1527</v>
      </c>
      <c r="U41" s="78">
        <v>-2721</v>
      </c>
      <c r="V41" s="78">
        <v>-285</v>
      </c>
      <c r="W41" s="78">
        <v>1870</v>
      </c>
      <c r="X41" s="78">
        <v>2327</v>
      </c>
      <c r="Y41" s="78">
        <v>1417</v>
      </c>
      <c r="Z41" s="78">
        <v>-1833</v>
      </c>
      <c r="AA41" s="78">
        <v>682</v>
      </c>
      <c r="AB41" s="78">
        <v>5178</v>
      </c>
      <c r="AC41" s="78">
        <v>822</v>
      </c>
      <c r="AD41" s="78">
        <v>-91</v>
      </c>
      <c r="AE41" s="78">
        <v>5153</v>
      </c>
      <c r="AF41" s="78">
        <v>7847</v>
      </c>
      <c r="AG41" s="78">
        <v>11039</v>
      </c>
      <c r="AH41" s="78">
        <v>12708</v>
      </c>
      <c r="AI41" s="78">
        <v>4567</v>
      </c>
      <c r="AJ41" s="78">
        <v>807</v>
      </c>
      <c r="AK41" s="78">
        <v>7746</v>
      </c>
      <c r="AL41" s="78">
        <v>-3981</v>
      </c>
      <c r="AM41" s="78">
        <v>-9818</v>
      </c>
      <c r="AN41" s="78">
        <f>SUM(AN31:AN40)</f>
        <v>-16149</v>
      </c>
      <c r="AO41" s="78">
        <v>-23850</v>
      </c>
      <c r="AP41" s="78">
        <f>SUM(AP31:AP40)</f>
        <v>-14946</v>
      </c>
      <c r="AQ41" s="78">
        <f t="shared" si="32"/>
        <v>-21052</v>
      </c>
      <c r="AR41" s="78">
        <f>SUM(AR31:AR40)</f>
        <v>-34208</v>
      </c>
      <c r="AS41" s="78">
        <f t="shared" si="29"/>
        <v>-42175</v>
      </c>
      <c r="AT41" s="78">
        <f>SUM(AT31:AT40)</f>
        <v>-24649</v>
      </c>
      <c r="AU41" s="78">
        <f t="shared" si="11"/>
        <v>-35618</v>
      </c>
    </row>
    <row r="42" spans="1:47" x14ac:dyDescent="0.2">
      <c r="A42" s="6" t="s">
        <v>228</v>
      </c>
      <c r="B42" s="34">
        <f t="shared" si="0"/>
        <v>-1897</v>
      </c>
      <c r="C42" s="34">
        <f t="shared" si="1"/>
        <v>-1833</v>
      </c>
      <c r="D42" s="34">
        <f t="shared" si="2"/>
        <v>-907</v>
      </c>
      <c r="E42" s="34">
        <f t="shared" si="3"/>
        <v>-1645</v>
      </c>
      <c r="F42" s="34">
        <f t="shared" si="4"/>
        <v>-2146</v>
      </c>
      <c r="G42" s="34">
        <f t="shared" si="5"/>
        <v>-1960</v>
      </c>
      <c r="H42" s="34">
        <f t="shared" si="6"/>
        <v>-2381</v>
      </c>
      <c r="I42" s="34">
        <f t="shared" si="7"/>
        <v>-1483</v>
      </c>
      <c r="J42" s="34">
        <f t="shared" si="8"/>
        <v>-3939</v>
      </c>
      <c r="K42" s="34">
        <f t="shared" si="9"/>
        <v>-4647</v>
      </c>
      <c r="L42" s="34">
        <f t="shared" si="12"/>
        <v>-3543</v>
      </c>
      <c r="M42" s="34">
        <f t="shared" si="31"/>
        <v>-5553</v>
      </c>
      <c r="N42" s="34">
        <v>-4518</v>
      </c>
      <c r="O42" s="34">
        <f>-2637</f>
        <v>-2637</v>
      </c>
      <c r="P42" s="34">
        <v>-4404</v>
      </c>
      <c r="R42" s="34">
        <v>-1370</v>
      </c>
      <c r="S42" s="34">
        <v>-527</v>
      </c>
      <c r="T42" s="34">
        <v>-936</v>
      </c>
      <c r="U42" s="34">
        <v>-897</v>
      </c>
      <c r="V42" s="34">
        <v>-632</v>
      </c>
      <c r="W42" s="34">
        <v>-275</v>
      </c>
      <c r="X42" s="34">
        <v>-742</v>
      </c>
      <c r="Y42" s="34">
        <v>-903</v>
      </c>
      <c r="Z42" s="34">
        <v>-1605</v>
      </c>
      <c r="AA42" s="34">
        <v>-541</v>
      </c>
      <c r="AB42" s="34">
        <v>-1070</v>
      </c>
      <c r="AC42" s="34">
        <v>-890</v>
      </c>
      <c r="AD42" s="34">
        <v>-1018</v>
      </c>
      <c r="AE42" s="34">
        <v>-1363</v>
      </c>
      <c r="AF42" s="34">
        <v>-600</v>
      </c>
      <c r="AG42" s="34">
        <v>-883</v>
      </c>
      <c r="AH42" s="34">
        <v>-1620</v>
      </c>
      <c r="AI42" s="34">
        <v>-2319</v>
      </c>
      <c r="AJ42" s="34">
        <v>-1731</v>
      </c>
      <c r="AK42" s="34">
        <v>-2916</v>
      </c>
      <c r="AL42" s="34">
        <v>-1231</v>
      </c>
      <c r="AM42" s="34">
        <v>-2312</v>
      </c>
      <c r="AN42" s="34">
        <v>-1149</v>
      </c>
      <c r="AO42" s="34">
        <v>-4404</v>
      </c>
      <c r="AP42" s="34">
        <v>-1887</v>
      </c>
      <c r="AQ42" s="34">
        <f t="shared" si="32"/>
        <v>-2631</v>
      </c>
      <c r="AR42" s="34">
        <f>-2161</f>
        <v>-2161</v>
      </c>
      <c r="AS42" s="34">
        <f t="shared" si="29"/>
        <v>-476</v>
      </c>
      <c r="AT42" s="34">
        <f>-1659</f>
        <v>-1659</v>
      </c>
      <c r="AU42" s="34">
        <f t="shared" si="11"/>
        <v>-2745</v>
      </c>
    </row>
    <row r="43" spans="1:47" x14ac:dyDescent="0.2">
      <c r="A43" s="6" t="s">
        <v>229</v>
      </c>
      <c r="B43" s="34">
        <f t="shared" si="0"/>
        <v>-1098</v>
      </c>
      <c r="C43" s="34">
        <f t="shared" si="1"/>
        <v>-1097</v>
      </c>
      <c r="D43" s="34">
        <f t="shared" si="2"/>
        <v>-1724</v>
      </c>
      <c r="E43" s="34">
        <f t="shared" si="3"/>
        <v>-1588</v>
      </c>
      <c r="F43" s="34">
        <f t="shared" si="4"/>
        <v>-2516</v>
      </c>
      <c r="G43" s="34">
        <f t="shared" si="5"/>
        <v>-2603</v>
      </c>
      <c r="H43" s="34">
        <f t="shared" si="6"/>
        <v>-2257</v>
      </c>
      <c r="I43" s="34">
        <f t="shared" si="7"/>
        <v>-2246</v>
      </c>
      <c r="J43" s="34">
        <f t="shared" si="8"/>
        <v>-4824</v>
      </c>
      <c r="K43" s="34">
        <f t="shared" si="9"/>
        <v>-4803</v>
      </c>
      <c r="L43" s="34">
        <f t="shared" si="12"/>
        <v>-4461</v>
      </c>
      <c r="M43" s="34">
        <f t="shared" si="31"/>
        <v>-5263</v>
      </c>
      <c r="N43" s="34">
        <v>-6015</v>
      </c>
      <c r="O43" s="34">
        <f>-10589</f>
        <v>-10589</v>
      </c>
      <c r="P43" s="34">
        <f>-17061</f>
        <v>-17061</v>
      </c>
      <c r="R43" s="34">
        <v>-547</v>
      </c>
      <c r="S43" s="34">
        <v>-551</v>
      </c>
      <c r="T43" s="34">
        <v>-476</v>
      </c>
      <c r="U43" s="34">
        <v>-621</v>
      </c>
      <c r="V43" s="34">
        <v>-871</v>
      </c>
      <c r="W43" s="34">
        <v>-853</v>
      </c>
      <c r="X43" s="34">
        <v>-683</v>
      </c>
      <c r="Y43" s="34">
        <v>-905</v>
      </c>
      <c r="Z43" s="34">
        <v>-1180</v>
      </c>
      <c r="AA43" s="34">
        <v>-1336</v>
      </c>
      <c r="AB43" s="34">
        <v>-1278</v>
      </c>
      <c r="AC43" s="34">
        <v>-1325</v>
      </c>
      <c r="AD43" s="34">
        <v>-1093</v>
      </c>
      <c r="AE43" s="34">
        <v>-1164</v>
      </c>
      <c r="AF43" s="34">
        <v>-1146</v>
      </c>
      <c r="AG43" s="34">
        <v>-1100</v>
      </c>
      <c r="AH43" s="34">
        <v>-2056</v>
      </c>
      <c r="AI43" s="34">
        <v>-2768</v>
      </c>
      <c r="AJ43" s="34">
        <v>-2504</v>
      </c>
      <c r="AK43" s="34">
        <v>-2299</v>
      </c>
      <c r="AL43" s="34">
        <v>-2097</v>
      </c>
      <c r="AM43" s="34">
        <v>-2364</v>
      </c>
      <c r="AN43" s="34">
        <v>-4385</v>
      </c>
      <c r="AO43" s="34">
        <v>-878</v>
      </c>
      <c r="AP43" s="34">
        <v>-2588</v>
      </c>
      <c r="AQ43" s="34">
        <f t="shared" si="32"/>
        <v>-3427</v>
      </c>
      <c r="AR43" s="34">
        <f>-5342</f>
        <v>-5342</v>
      </c>
      <c r="AS43" s="34">
        <f t="shared" si="29"/>
        <v>-5247</v>
      </c>
      <c r="AT43" s="34">
        <f>-8042</f>
        <v>-8042</v>
      </c>
      <c r="AU43" s="34">
        <f t="shared" si="11"/>
        <v>-9019</v>
      </c>
    </row>
    <row r="44" spans="1:47" x14ac:dyDescent="0.2">
      <c r="A44" s="51" t="s">
        <v>230</v>
      </c>
      <c r="B44" s="79">
        <f t="shared" si="0"/>
        <v>-3873</v>
      </c>
      <c r="C44" s="79">
        <f t="shared" si="1"/>
        <v>-4124</v>
      </c>
      <c r="D44" s="79">
        <f t="shared" si="2"/>
        <v>-1046</v>
      </c>
      <c r="E44" s="79">
        <f t="shared" si="3"/>
        <v>511</v>
      </c>
      <c r="F44" s="79">
        <f t="shared" si="4"/>
        <v>-5813</v>
      </c>
      <c r="G44" s="79">
        <f t="shared" si="5"/>
        <v>1437</v>
      </c>
      <c r="H44" s="79">
        <f t="shared" si="6"/>
        <v>424</v>
      </c>
      <c r="I44" s="79">
        <f t="shared" si="7"/>
        <v>15157</v>
      </c>
      <c r="J44" s="79">
        <f t="shared" si="8"/>
        <v>8512</v>
      </c>
      <c r="K44" s="79">
        <f t="shared" si="9"/>
        <v>-897</v>
      </c>
      <c r="L44" s="79">
        <f>SUM(AL44:AM44)</f>
        <v>-21803</v>
      </c>
      <c r="M44" s="79">
        <f t="shared" si="31"/>
        <v>-50815</v>
      </c>
      <c r="N44" s="79">
        <f>SUM(N41:N43)</f>
        <v>-46531</v>
      </c>
      <c r="O44" s="79">
        <f>SUM(O41:O43)</f>
        <v>-89609</v>
      </c>
      <c r="P44" s="79">
        <f>SUM(P41:P43)</f>
        <v>-81732</v>
      </c>
      <c r="Q44" s="32"/>
      <c r="R44" s="79">
        <v>-1776</v>
      </c>
      <c r="S44" s="79">
        <v>-2097</v>
      </c>
      <c r="T44" s="79">
        <v>115</v>
      </c>
      <c r="U44" s="79">
        <v>-4239</v>
      </c>
      <c r="V44" s="79">
        <v>-1788</v>
      </c>
      <c r="W44" s="79">
        <v>742</v>
      </c>
      <c r="X44" s="79">
        <v>902</v>
      </c>
      <c r="Y44" s="79">
        <v>-391</v>
      </c>
      <c r="Z44" s="79">
        <v>-4618</v>
      </c>
      <c r="AA44" s="79">
        <v>-1195</v>
      </c>
      <c r="AB44" s="79">
        <v>2830</v>
      </c>
      <c r="AC44" s="79">
        <v>-1393</v>
      </c>
      <c r="AD44" s="79">
        <v>-2202</v>
      </c>
      <c r="AE44" s="79">
        <v>2626</v>
      </c>
      <c r="AF44" s="79">
        <v>6101</v>
      </c>
      <c r="AG44" s="79">
        <v>9056</v>
      </c>
      <c r="AH44" s="79">
        <v>9032</v>
      </c>
      <c r="AI44" s="79">
        <v>-520</v>
      </c>
      <c r="AJ44" s="79">
        <v>-3428</v>
      </c>
      <c r="AK44" s="79">
        <v>2531</v>
      </c>
      <c r="AL44" s="80">
        <v>-7309</v>
      </c>
      <c r="AM44" s="80">
        <v>-14494</v>
      </c>
      <c r="AN44" s="80">
        <f>SUM(AN41:AN43)</f>
        <v>-21683</v>
      </c>
      <c r="AO44" s="80">
        <v>-29132</v>
      </c>
      <c r="AP44" s="80">
        <f>SUM(AP41:AP43)</f>
        <v>-19421</v>
      </c>
      <c r="AQ44" s="80">
        <f t="shared" si="32"/>
        <v>-27110</v>
      </c>
      <c r="AR44" s="80">
        <f>SUM(AR41:AR43)</f>
        <v>-41711</v>
      </c>
      <c r="AS44" s="80">
        <f t="shared" si="29"/>
        <v>-47898</v>
      </c>
      <c r="AT44" s="80">
        <f>SUM(AT41:AT43)</f>
        <v>-34350</v>
      </c>
      <c r="AU44" s="80">
        <f t="shared" si="11"/>
        <v>-47382</v>
      </c>
    </row>
    <row r="45" spans="1:47" x14ac:dyDescent="0.2">
      <c r="A45" s="52"/>
      <c r="B45" s="34"/>
      <c r="C45" s="34"/>
      <c r="D45" s="34"/>
      <c r="E45" s="34"/>
      <c r="F45" s="34"/>
      <c r="G45" s="34"/>
      <c r="H45" s="34"/>
      <c r="I45" s="34"/>
      <c r="J45" s="34"/>
      <c r="K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R45" s="6"/>
      <c r="AT45" s="6"/>
      <c r="AU45" s="6"/>
    </row>
    <row r="46" spans="1:47" x14ac:dyDescent="0.2">
      <c r="A46" s="5" t="s">
        <v>231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R46" s="6"/>
      <c r="AT46" s="6"/>
      <c r="AU46" s="6"/>
    </row>
    <row r="47" spans="1:47" x14ac:dyDescent="0.2">
      <c r="A47" s="6" t="s">
        <v>232</v>
      </c>
      <c r="B47" s="34">
        <f t="shared" ref="B47:B53" si="33">SUM(R47:S47)</f>
        <v>117</v>
      </c>
      <c r="C47" s="34">
        <f t="shared" ref="C47:C53" si="34">SUM(T47:U47)</f>
        <v>71</v>
      </c>
      <c r="D47" s="34">
        <f t="shared" ref="D47:D53" si="35">SUM(V47:W47)</f>
        <v>15</v>
      </c>
      <c r="E47" s="34">
        <f t="shared" ref="E47:E53" si="36">SUM(X47:Y47)</f>
        <v>66</v>
      </c>
      <c r="F47" s="34">
        <f t="shared" ref="F47:F53" si="37">SUM(Z47:AA47)</f>
        <v>188</v>
      </c>
      <c r="G47" s="34">
        <f t="shared" ref="G47:G53" si="38">SUM(AB47:AC47)</f>
        <v>93</v>
      </c>
      <c r="H47" s="34">
        <f t="shared" ref="H47:H53" si="39">SUM(AD47:AE47)</f>
        <v>294</v>
      </c>
      <c r="I47" s="34">
        <f t="shared" ref="I47:I53" si="40">SUM(AF47:AG47)</f>
        <v>57</v>
      </c>
      <c r="J47" s="34">
        <f t="shared" ref="J47:J53" si="41">SUM(AH47:AI47)</f>
        <v>346</v>
      </c>
      <c r="K47" s="34">
        <f t="shared" ref="K47:K53" si="42">SUM(AJ47:AK47)</f>
        <v>265</v>
      </c>
      <c r="L47" s="34">
        <f t="shared" ref="L47:L57" si="43">SUM(AL47:AM47)</f>
        <v>266</v>
      </c>
      <c r="M47" s="34">
        <f t="shared" ref="M47:M57" si="44">SUM(AN47:AO47)</f>
        <v>10</v>
      </c>
      <c r="N47" s="34">
        <v>413</v>
      </c>
      <c r="O47" s="34">
        <f>996</f>
        <v>996</v>
      </c>
      <c r="P47" s="34">
        <f>1117</f>
        <v>1117</v>
      </c>
      <c r="R47" s="34">
        <v>98</v>
      </c>
      <c r="S47" s="34">
        <v>19</v>
      </c>
      <c r="T47" s="34">
        <v>41</v>
      </c>
      <c r="U47" s="34">
        <v>30</v>
      </c>
      <c r="V47" s="34">
        <v>57</v>
      </c>
      <c r="W47" s="34">
        <v>-42</v>
      </c>
      <c r="X47" s="34">
        <v>52</v>
      </c>
      <c r="Y47" s="34">
        <v>14</v>
      </c>
      <c r="Z47" s="34">
        <v>29</v>
      </c>
      <c r="AA47" s="34">
        <v>159</v>
      </c>
      <c r="AB47" s="34">
        <v>45</v>
      </c>
      <c r="AC47" s="34">
        <v>48</v>
      </c>
      <c r="AD47" s="34">
        <v>221</v>
      </c>
      <c r="AE47" s="34">
        <v>73</v>
      </c>
      <c r="AF47" s="34">
        <v>6</v>
      </c>
      <c r="AG47" s="34">
        <v>51</v>
      </c>
      <c r="AH47" s="34">
        <v>51</v>
      </c>
      <c r="AI47" s="34">
        <v>295</v>
      </c>
      <c r="AJ47" s="34">
        <v>92</v>
      </c>
      <c r="AK47" s="34">
        <v>173</v>
      </c>
      <c r="AL47" s="34">
        <v>195</v>
      </c>
      <c r="AM47" s="34">
        <v>71</v>
      </c>
      <c r="AN47" s="34">
        <v>31</v>
      </c>
      <c r="AO47" s="34">
        <v>-21</v>
      </c>
      <c r="AP47" s="34">
        <v>209</v>
      </c>
      <c r="AQ47" s="34">
        <f t="shared" ref="AQ47:AQ57" si="45">N47-AP47</f>
        <v>204</v>
      </c>
      <c r="AR47" s="34">
        <f>677</f>
        <v>677</v>
      </c>
      <c r="AS47" s="34">
        <f t="shared" ref="AS47:AS57" si="46">O47-AR47</f>
        <v>319</v>
      </c>
      <c r="AT47" s="34">
        <f>594</f>
        <v>594</v>
      </c>
      <c r="AU47" s="34">
        <f t="shared" si="11"/>
        <v>523</v>
      </c>
    </row>
    <row r="48" spans="1:47" x14ac:dyDescent="0.2">
      <c r="A48" s="6" t="s">
        <v>233</v>
      </c>
      <c r="B48" s="34">
        <f t="shared" si="33"/>
        <v>0</v>
      </c>
      <c r="C48" s="34">
        <f t="shared" si="34"/>
        <v>0</v>
      </c>
      <c r="D48" s="34">
        <f t="shared" si="35"/>
        <v>0</v>
      </c>
      <c r="E48" s="34">
        <f t="shared" si="36"/>
        <v>0</v>
      </c>
      <c r="F48" s="34">
        <f t="shared" si="37"/>
        <v>0</v>
      </c>
      <c r="G48" s="34">
        <f t="shared" si="38"/>
        <v>0</v>
      </c>
      <c r="H48" s="34">
        <f t="shared" si="39"/>
        <v>232</v>
      </c>
      <c r="I48" s="34">
        <f t="shared" si="40"/>
        <v>8</v>
      </c>
      <c r="J48" s="34">
        <f t="shared" si="41"/>
        <v>76</v>
      </c>
      <c r="K48" s="34">
        <f t="shared" si="42"/>
        <v>440</v>
      </c>
      <c r="L48" s="34">
        <f t="shared" si="43"/>
        <v>474</v>
      </c>
      <c r="M48" s="34">
        <f t="shared" si="44"/>
        <v>12</v>
      </c>
      <c r="N48" s="34">
        <v>8</v>
      </c>
      <c r="O48" s="34">
        <f>65</f>
        <v>65</v>
      </c>
      <c r="P48" s="34">
        <f>1413</f>
        <v>1413</v>
      </c>
      <c r="R48" s="34"/>
      <c r="S48" s="34">
        <v>0</v>
      </c>
      <c r="T48" s="34"/>
      <c r="U48" s="34">
        <v>0</v>
      </c>
      <c r="V48" s="34"/>
      <c r="W48" s="34">
        <v>0</v>
      </c>
      <c r="X48" s="34"/>
      <c r="Y48" s="34">
        <v>0</v>
      </c>
      <c r="Z48" s="34"/>
      <c r="AA48" s="34">
        <v>0</v>
      </c>
      <c r="AB48" s="34">
        <v>0</v>
      </c>
      <c r="AC48" s="34">
        <v>0</v>
      </c>
      <c r="AD48" s="34">
        <v>224</v>
      </c>
      <c r="AE48" s="34">
        <v>8</v>
      </c>
      <c r="AF48" s="34">
        <v>8</v>
      </c>
      <c r="AG48" s="34">
        <v>0</v>
      </c>
      <c r="AH48" s="34">
        <v>0</v>
      </c>
      <c r="AI48" s="34">
        <v>76</v>
      </c>
      <c r="AJ48" s="34">
        <v>62</v>
      </c>
      <c r="AK48" s="34">
        <v>378</v>
      </c>
      <c r="AL48" s="34">
        <v>296</v>
      </c>
      <c r="AM48" s="34">
        <v>178</v>
      </c>
      <c r="AN48" s="34">
        <v>6</v>
      </c>
      <c r="AO48" s="34">
        <v>6</v>
      </c>
      <c r="AP48" s="34">
        <v>6</v>
      </c>
      <c r="AQ48" s="34">
        <f t="shared" si="45"/>
        <v>2</v>
      </c>
      <c r="AR48" s="34">
        <f>43</f>
        <v>43</v>
      </c>
      <c r="AS48" s="34">
        <f t="shared" si="46"/>
        <v>22</v>
      </c>
      <c r="AT48" s="34">
        <f>3</f>
        <v>3</v>
      </c>
      <c r="AU48" s="34">
        <f t="shared" si="11"/>
        <v>1410</v>
      </c>
    </row>
    <row r="49" spans="1:47" x14ac:dyDescent="0.2">
      <c r="A49" s="6" t="s">
        <v>234</v>
      </c>
      <c r="B49" s="34">
        <f t="shared" si="33"/>
        <v>140</v>
      </c>
      <c r="C49" s="34">
        <f t="shared" si="34"/>
        <v>552</v>
      </c>
      <c r="D49" s="34">
        <f t="shared" si="35"/>
        <v>611</v>
      </c>
      <c r="E49" s="34">
        <f t="shared" si="36"/>
        <v>823</v>
      </c>
      <c r="F49" s="34">
        <f t="shared" si="37"/>
        <v>1311</v>
      </c>
      <c r="G49" s="34">
        <f t="shared" si="38"/>
        <v>1153</v>
      </c>
      <c r="H49" s="34">
        <f t="shared" si="39"/>
        <v>918</v>
      </c>
      <c r="I49" s="34">
        <f t="shared" si="40"/>
        <v>1125</v>
      </c>
      <c r="J49" s="34">
        <f t="shared" si="41"/>
        <v>2167</v>
      </c>
      <c r="K49" s="34">
        <f t="shared" si="42"/>
        <v>1103</v>
      </c>
      <c r="L49" s="34">
        <f t="shared" si="43"/>
        <v>1763</v>
      </c>
      <c r="M49" s="34">
        <f t="shared" si="44"/>
        <v>1211</v>
      </c>
      <c r="N49" s="34">
        <v>1952</v>
      </c>
      <c r="O49" s="34">
        <f>1519</f>
        <v>1519</v>
      </c>
      <c r="P49" s="34">
        <f>1433</f>
        <v>1433</v>
      </c>
      <c r="R49" s="34">
        <v>69</v>
      </c>
      <c r="S49" s="34">
        <v>71</v>
      </c>
      <c r="T49" s="34">
        <v>251</v>
      </c>
      <c r="U49" s="34">
        <v>301</v>
      </c>
      <c r="V49" s="34">
        <v>351</v>
      </c>
      <c r="W49" s="34">
        <v>260</v>
      </c>
      <c r="X49" s="34">
        <v>342</v>
      </c>
      <c r="Y49" s="34">
        <v>481</v>
      </c>
      <c r="Z49" s="34">
        <v>802</v>
      </c>
      <c r="AA49" s="34">
        <v>509</v>
      </c>
      <c r="AB49" s="34">
        <v>580</v>
      </c>
      <c r="AC49" s="34">
        <v>573</v>
      </c>
      <c r="AD49" s="34">
        <v>410</v>
      </c>
      <c r="AE49" s="34">
        <v>508</v>
      </c>
      <c r="AF49" s="34">
        <v>431</v>
      </c>
      <c r="AG49" s="34">
        <v>694</v>
      </c>
      <c r="AH49" s="34">
        <v>1238</v>
      </c>
      <c r="AI49" s="34">
        <v>929</v>
      </c>
      <c r="AJ49" s="34">
        <v>723</v>
      </c>
      <c r="AK49" s="34">
        <v>380</v>
      </c>
      <c r="AL49" s="34">
        <v>496</v>
      </c>
      <c r="AM49" s="34">
        <v>1267</v>
      </c>
      <c r="AN49" s="34">
        <v>680</v>
      </c>
      <c r="AO49" s="34">
        <v>531</v>
      </c>
      <c r="AP49" s="34">
        <v>919</v>
      </c>
      <c r="AQ49" s="34">
        <f t="shared" si="45"/>
        <v>1033</v>
      </c>
      <c r="AR49" s="34">
        <f>649</f>
        <v>649</v>
      </c>
      <c r="AS49" s="34">
        <f t="shared" si="46"/>
        <v>870</v>
      </c>
      <c r="AT49" s="34">
        <f>883</f>
        <v>883</v>
      </c>
      <c r="AU49" s="34">
        <f t="shared" si="11"/>
        <v>550</v>
      </c>
    </row>
    <row r="50" spans="1:47" x14ac:dyDescent="0.2">
      <c r="A50" s="6" t="s">
        <v>235</v>
      </c>
      <c r="B50" s="34">
        <f t="shared" si="33"/>
        <v>-726</v>
      </c>
      <c r="C50" s="34">
        <f t="shared" si="34"/>
        <v>-844</v>
      </c>
      <c r="D50" s="34">
        <f t="shared" si="35"/>
        <v>-431</v>
      </c>
      <c r="E50" s="34">
        <f t="shared" si="36"/>
        <v>-653</v>
      </c>
      <c r="F50" s="34">
        <f t="shared" si="37"/>
        <v>-369</v>
      </c>
      <c r="G50" s="34">
        <f t="shared" si="38"/>
        <v>-711</v>
      </c>
      <c r="H50" s="34">
        <f t="shared" si="39"/>
        <v>-707</v>
      </c>
      <c r="I50" s="34">
        <f t="shared" si="40"/>
        <v>-550</v>
      </c>
      <c r="J50" s="34">
        <f t="shared" si="41"/>
        <v>-496</v>
      </c>
      <c r="K50" s="34">
        <f t="shared" si="42"/>
        <v>-396</v>
      </c>
      <c r="L50" s="34">
        <f t="shared" si="43"/>
        <v>-560</v>
      </c>
      <c r="M50" s="34">
        <f t="shared" si="44"/>
        <v>-1201</v>
      </c>
      <c r="N50" s="34">
        <v>-2146</v>
      </c>
      <c r="O50" s="34">
        <f>-6467</f>
        <v>-6467</v>
      </c>
      <c r="P50" s="34">
        <f>-3295</f>
        <v>-3295</v>
      </c>
      <c r="R50" s="34">
        <v>-191</v>
      </c>
      <c r="S50" s="34">
        <v>-535</v>
      </c>
      <c r="T50" s="34">
        <v>-297</v>
      </c>
      <c r="U50" s="34">
        <v>-547</v>
      </c>
      <c r="V50" s="34">
        <v>-160</v>
      </c>
      <c r="W50" s="34">
        <v>-271</v>
      </c>
      <c r="X50" s="34">
        <v>-364</v>
      </c>
      <c r="Y50" s="34">
        <v>-289</v>
      </c>
      <c r="Z50" s="34">
        <v>-95</v>
      </c>
      <c r="AA50" s="34">
        <v>-274</v>
      </c>
      <c r="AB50" s="34">
        <v>-218</v>
      </c>
      <c r="AC50" s="34">
        <v>-493</v>
      </c>
      <c r="AD50" s="34">
        <v>-365</v>
      </c>
      <c r="AE50" s="34">
        <v>-342</v>
      </c>
      <c r="AF50" s="34">
        <v>-266</v>
      </c>
      <c r="AG50" s="34">
        <v>-284</v>
      </c>
      <c r="AH50" s="34">
        <v>-335</v>
      </c>
      <c r="AI50" s="34">
        <v>-161</v>
      </c>
      <c r="AJ50" s="34">
        <v>-306</v>
      </c>
      <c r="AK50" s="34">
        <v>-90</v>
      </c>
      <c r="AL50" s="34">
        <v>-236</v>
      </c>
      <c r="AM50" s="34">
        <v>-324</v>
      </c>
      <c r="AN50" s="34">
        <v>-331</v>
      </c>
      <c r="AO50" s="34">
        <v>-870</v>
      </c>
      <c r="AP50" s="34">
        <v>-981</v>
      </c>
      <c r="AQ50" s="34">
        <f t="shared" si="45"/>
        <v>-1165</v>
      </c>
      <c r="AR50" s="34">
        <f>-1640</f>
        <v>-1640</v>
      </c>
      <c r="AS50" s="34">
        <f t="shared" si="46"/>
        <v>-4827</v>
      </c>
      <c r="AT50" s="34">
        <v>-2424</v>
      </c>
      <c r="AU50" s="34">
        <f t="shared" si="11"/>
        <v>-871</v>
      </c>
    </row>
    <row r="51" spans="1:47" x14ac:dyDescent="0.2">
      <c r="A51" s="6" t="s">
        <v>236</v>
      </c>
      <c r="B51" s="34">
        <f t="shared" si="33"/>
        <v>-253</v>
      </c>
      <c r="C51" s="34">
        <f t="shared" si="34"/>
        <v>-371</v>
      </c>
      <c r="D51" s="34">
        <f t="shared" si="35"/>
        <v>-55</v>
      </c>
      <c r="E51" s="34">
        <f t="shared" si="36"/>
        <v>-178</v>
      </c>
      <c r="F51" s="34">
        <f t="shared" si="37"/>
        <v>-123</v>
      </c>
      <c r="G51" s="34">
        <f t="shared" si="38"/>
        <v>-435</v>
      </c>
      <c r="H51" s="34">
        <f t="shared" si="39"/>
        <v>-60</v>
      </c>
      <c r="I51" s="34">
        <f t="shared" si="40"/>
        <v>-91</v>
      </c>
      <c r="J51" s="34">
        <f t="shared" si="41"/>
        <v>48</v>
      </c>
      <c r="K51" s="34">
        <f t="shared" si="42"/>
        <v>-216</v>
      </c>
      <c r="L51" s="34">
        <f t="shared" si="43"/>
        <v>-823</v>
      </c>
      <c r="M51" s="34">
        <f t="shared" si="44"/>
        <v>-13</v>
      </c>
      <c r="N51" s="34">
        <v>-165</v>
      </c>
      <c r="O51" s="34">
        <f>-682</f>
        <v>-682</v>
      </c>
      <c r="P51" s="34">
        <f>-3524</f>
        <v>-3524</v>
      </c>
      <c r="R51" s="34">
        <v>-61</v>
      </c>
      <c r="S51" s="34">
        <v>-192</v>
      </c>
      <c r="T51" s="34">
        <v>-11</v>
      </c>
      <c r="U51" s="34">
        <v>-360</v>
      </c>
      <c r="V51" s="34">
        <v>-37</v>
      </c>
      <c r="W51" s="34">
        <v>-18</v>
      </c>
      <c r="X51" s="34">
        <v>-16</v>
      </c>
      <c r="Y51" s="34">
        <v>-162</v>
      </c>
      <c r="Z51" s="34">
        <v>-4</v>
      </c>
      <c r="AA51" s="34">
        <v>-119</v>
      </c>
      <c r="AB51" s="34">
        <v>-41</v>
      </c>
      <c r="AC51" s="34">
        <v>-394</v>
      </c>
      <c r="AD51" s="34">
        <v>-27</v>
      </c>
      <c r="AE51" s="34">
        <v>-33</v>
      </c>
      <c r="AF51" s="34">
        <v>-19</v>
      </c>
      <c r="AG51" s="34">
        <v>-72</v>
      </c>
      <c r="AH51" s="34">
        <v>-2</v>
      </c>
      <c r="AI51" s="34">
        <v>50</v>
      </c>
      <c r="AJ51" s="34">
        <v>-8</v>
      </c>
      <c r="AK51" s="34">
        <v>-208</v>
      </c>
      <c r="AL51" s="34">
        <v>-1</v>
      </c>
      <c r="AM51" s="34">
        <v>-822</v>
      </c>
      <c r="AN51" s="34">
        <v>31</v>
      </c>
      <c r="AO51" s="34">
        <v>-44</v>
      </c>
      <c r="AP51" s="34">
        <f>0</f>
        <v>0</v>
      </c>
      <c r="AQ51" s="34">
        <f t="shared" si="45"/>
        <v>-165</v>
      </c>
      <c r="AR51" s="34">
        <f>-370</f>
        <v>-370</v>
      </c>
      <c r="AS51" s="34">
        <f t="shared" si="46"/>
        <v>-312</v>
      </c>
      <c r="AT51" s="34">
        <f>-2911</f>
        <v>-2911</v>
      </c>
      <c r="AU51" s="34">
        <f t="shared" si="11"/>
        <v>-613</v>
      </c>
    </row>
    <row r="52" spans="1:47" x14ac:dyDescent="0.2">
      <c r="A52" s="6" t="s">
        <v>237</v>
      </c>
      <c r="B52" s="34">
        <f t="shared" si="33"/>
        <v>234</v>
      </c>
      <c r="C52" s="34">
        <f t="shared" si="34"/>
        <v>363</v>
      </c>
      <c r="D52" s="34">
        <f t="shared" si="35"/>
        <v>85</v>
      </c>
      <c r="E52" s="34">
        <f t="shared" si="36"/>
        <v>174</v>
      </c>
      <c r="F52" s="34">
        <f t="shared" si="37"/>
        <v>66</v>
      </c>
      <c r="G52" s="34">
        <f t="shared" si="38"/>
        <v>25</v>
      </c>
      <c r="H52" s="34">
        <f t="shared" si="39"/>
        <v>93</v>
      </c>
      <c r="I52" s="34">
        <f t="shared" si="40"/>
        <v>6</v>
      </c>
      <c r="J52" s="34">
        <f t="shared" si="41"/>
        <v>0</v>
      </c>
      <c r="K52" s="34">
        <f t="shared" si="42"/>
        <v>2</v>
      </c>
      <c r="L52" s="34">
        <f t="shared" si="43"/>
        <v>7</v>
      </c>
      <c r="M52" s="34">
        <f t="shared" si="44"/>
        <v>64</v>
      </c>
      <c r="N52" s="34">
        <v>173</v>
      </c>
      <c r="O52" s="34">
        <f>1</f>
        <v>1</v>
      </c>
      <c r="P52" s="34">
        <f>3012</f>
        <v>3012</v>
      </c>
      <c r="R52" s="34">
        <v>53</v>
      </c>
      <c r="S52" s="34">
        <v>181</v>
      </c>
      <c r="T52" s="34">
        <v>23</v>
      </c>
      <c r="U52" s="34">
        <v>340</v>
      </c>
      <c r="V52" s="34">
        <v>17</v>
      </c>
      <c r="W52" s="34">
        <v>68</v>
      </c>
      <c r="X52" s="34">
        <v>79</v>
      </c>
      <c r="Y52" s="34">
        <v>95</v>
      </c>
      <c r="Z52" s="34">
        <v>21</v>
      </c>
      <c r="AA52" s="34">
        <v>45</v>
      </c>
      <c r="AB52" s="34">
        <v>17</v>
      </c>
      <c r="AC52" s="34">
        <v>8</v>
      </c>
      <c r="AD52" s="34">
        <v>317</v>
      </c>
      <c r="AE52" s="34">
        <v>-224</v>
      </c>
      <c r="AF52" s="34">
        <v>34</v>
      </c>
      <c r="AG52" s="34">
        <v>-28</v>
      </c>
      <c r="AH52" s="34">
        <v>18</v>
      </c>
      <c r="AI52" s="34">
        <v>-18</v>
      </c>
      <c r="AJ52" s="34">
        <v>29</v>
      </c>
      <c r="AK52" s="34">
        <v>-27</v>
      </c>
      <c r="AL52" s="34">
        <v>72</v>
      </c>
      <c r="AM52" s="34">
        <v>-65</v>
      </c>
      <c r="AN52" s="34">
        <v>-30</v>
      </c>
      <c r="AO52" s="34">
        <v>94</v>
      </c>
      <c r="AP52" s="34">
        <f>15</f>
        <v>15</v>
      </c>
      <c r="AQ52" s="34">
        <f t="shared" si="45"/>
        <v>158</v>
      </c>
      <c r="AR52" s="34">
        <f>0</f>
        <v>0</v>
      </c>
      <c r="AS52" s="34">
        <f t="shared" si="46"/>
        <v>1</v>
      </c>
      <c r="AT52" s="34">
        <f>2703</f>
        <v>2703</v>
      </c>
      <c r="AU52" s="34">
        <f t="shared" si="11"/>
        <v>309</v>
      </c>
    </row>
    <row r="53" spans="1:47" x14ac:dyDescent="0.2">
      <c r="A53" s="6" t="s">
        <v>238</v>
      </c>
      <c r="B53" s="34">
        <f t="shared" si="33"/>
        <v>-17</v>
      </c>
      <c r="C53" s="34">
        <f t="shared" si="34"/>
        <v>-8</v>
      </c>
      <c r="D53" s="34">
        <f t="shared" si="35"/>
        <v>-20</v>
      </c>
      <c r="E53" s="34">
        <f t="shared" si="36"/>
        <v>7</v>
      </c>
      <c r="F53" s="34">
        <f t="shared" si="37"/>
        <v>0</v>
      </c>
      <c r="G53" s="34">
        <f t="shared" si="38"/>
        <v>0</v>
      </c>
      <c r="H53" s="34">
        <f t="shared" si="39"/>
        <v>0</v>
      </c>
      <c r="I53" s="34">
        <f t="shared" si="40"/>
        <v>0</v>
      </c>
      <c r="J53" s="34">
        <f t="shared" si="41"/>
        <v>19</v>
      </c>
      <c r="K53" s="34">
        <f t="shared" si="42"/>
        <v>0</v>
      </c>
      <c r="L53" s="34">
        <f t="shared" si="43"/>
        <v>32</v>
      </c>
      <c r="M53" s="34">
        <f t="shared" si="44"/>
        <v>0</v>
      </c>
      <c r="N53" s="34">
        <v>1</v>
      </c>
      <c r="O53" s="34">
        <f>0</f>
        <v>0</v>
      </c>
      <c r="P53" s="34">
        <f>0</f>
        <v>0</v>
      </c>
      <c r="R53" s="34">
        <v>1</v>
      </c>
      <c r="S53" s="34">
        <v>-18</v>
      </c>
      <c r="T53" s="34">
        <v>0</v>
      </c>
      <c r="U53" s="34">
        <v>-8</v>
      </c>
      <c r="V53" s="34">
        <v>-7</v>
      </c>
      <c r="W53" s="34">
        <v>-13</v>
      </c>
      <c r="X53" s="34">
        <v>0</v>
      </c>
      <c r="Y53" s="34">
        <v>7</v>
      </c>
      <c r="Z53" s="34">
        <v>-3</v>
      </c>
      <c r="AA53" s="34">
        <v>3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19</v>
      </c>
      <c r="AJ53" s="34">
        <v>0</v>
      </c>
      <c r="AK53" s="34">
        <v>0</v>
      </c>
      <c r="AL53" s="34">
        <v>28</v>
      </c>
      <c r="AM53" s="34">
        <v>4</v>
      </c>
      <c r="AN53" s="34">
        <v>0</v>
      </c>
      <c r="AO53" s="34">
        <v>0</v>
      </c>
      <c r="AP53" s="34">
        <v>0</v>
      </c>
      <c r="AQ53" s="34">
        <f t="shared" si="45"/>
        <v>1</v>
      </c>
      <c r="AR53" s="34">
        <f>0</f>
        <v>0</v>
      </c>
      <c r="AS53" s="34">
        <f t="shared" si="46"/>
        <v>0</v>
      </c>
      <c r="AT53" s="34">
        <f>0</f>
        <v>0</v>
      </c>
      <c r="AU53" s="34">
        <f t="shared" si="11"/>
        <v>0</v>
      </c>
    </row>
    <row r="54" spans="1:47" x14ac:dyDescent="0.2">
      <c r="A54" s="6" t="s">
        <v>282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/>
      <c r="J54" s="34">
        <v>0</v>
      </c>
      <c r="K54" s="34">
        <v>0</v>
      </c>
      <c r="L54" s="34">
        <f t="shared" si="43"/>
        <v>-389</v>
      </c>
      <c r="M54" s="34">
        <f t="shared" si="44"/>
        <v>-247</v>
      </c>
      <c r="N54" s="34">
        <v>-9014</v>
      </c>
      <c r="O54" s="34">
        <f>0</f>
        <v>0</v>
      </c>
      <c r="P54" s="34">
        <f>0</f>
        <v>0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>
        <v>-389</v>
      </c>
      <c r="AN54" s="34">
        <v>-156</v>
      </c>
      <c r="AO54" s="34">
        <v>-91</v>
      </c>
      <c r="AP54" s="34">
        <v>0</v>
      </c>
      <c r="AQ54" s="34">
        <f t="shared" si="45"/>
        <v>-9014</v>
      </c>
      <c r="AR54" s="34">
        <f>0</f>
        <v>0</v>
      </c>
      <c r="AS54" s="34">
        <f t="shared" si="46"/>
        <v>0</v>
      </c>
      <c r="AT54" s="34">
        <f>0</f>
        <v>0</v>
      </c>
      <c r="AU54" s="34">
        <f t="shared" si="11"/>
        <v>0</v>
      </c>
    </row>
    <row r="55" spans="1:47" x14ac:dyDescent="0.2">
      <c r="A55" s="6" t="s">
        <v>239</v>
      </c>
      <c r="B55" s="34">
        <f>SUM(R55:S55)</f>
        <v>0</v>
      </c>
      <c r="C55" s="34">
        <f>SUM(T55:U55)</f>
        <v>0</v>
      </c>
      <c r="D55" s="34">
        <f>SUM(V55:W55)</f>
        <v>10</v>
      </c>
      <c r="E55" s="34">
        <f>SUM(X55:Y55)</f>
        <v>0</v>
      </c>
      <c r="F55" s="34">
        <f>SUM(Z55:AA55)</f>
        <v>0</v>
      </c>
      <c r="G55" s="34">
        <f>SUM(AB55:AC55)</f>
        <v>0</v>
      </c>
      <c r="H55" s="34">
        <f>SUM(AD55:AE55)</f>
        <v>0</v>
      </c>
      <c r="I55" s="34">
        <f>SUM(AF55:AG55)</f>
        <v>0</v>
      </c>
      <c r="J55" s="34">
        <f>SUM(AH55:AI55)</f>
        <v>-10481</v>
      </c>
      <c r="K55" s="34">
        <f>SUM(AJ55:AK55)</f>
        <v>0</v>
      </c>
      <c r="L55" s="34">
        <f t="shared" si="43"/>
        <v>0</v>
      </c>
      <c r="M55" s="34">
        <f t="shared" si="44"/>
        <v>536</v>
      </c>
      <c r="N55" s="34">
        <v>0</v>
      </c>
      <c r="O55" s="34">
        <f>0</f>
        <v>0</v>
      </c>
      <c r="P55" s="34">
        <f>0</f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-10481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533</v>
      </c>
      <c r="AO55" s="34">
        <v>3</v>
      </c>
      <c r="AP55" s="34">
        <v>0</v>
      </c>
      <c r="AQ55" s="34">
        <f t="shared" si="45"/>
        <v>0</v>
      </c>
      <c r="AR55" s="34">
        <f>0</f>
        <v>0</v>
      </c>
      <c r="AS55" s="34">
        <f t="shared" si="46"/>
        <v>0</v>
      </c>
      <c r="AT55" s="34">
        <f>0</f>
        <v>0</v>
      </c>
      <c r="AU55" s="34">
        <f t="shared" si="11"/>
        <v>0</v>
      </c>
    </row>
    <row r="56" spans="1:47" x14ac:dyDescent="0.2">
      <c r="A56" s="6" t="s">
        <v>240</v>
      </c>
      <c r="B56" s="34">
        <f>SUM(R56:S56)</f>
        <v>-1027</v>
      </c>
      <c r="C56" s="34">
        <f>SUM(T56:U56)</f>
        <v>-5506</v>
      </c>
      <c r="D56" s="34">
        <f>SUM(V56:W56)</f>
        <v>0</v>
      </c>
      <c r="E56" s="34">
        <f>SUM(X56:Y56)</f>
        <v>0</v>
      </c>
      <c r="F56" s="34">
        <f>SUM(Z56:AA56)</f>
        <v>0</v>
      </c>
      <c r="G56" s="34">
        <f>SUM(AB56:AC56)</f>
        <v>-265</v>
      </c>
      <c r="H56" s="34">
        <f>SUM(AD56:AE56)</f>
        <v>-263</v>
      </c>
      <c r="I56" s="34">
        <f>SUM(AF56:AG56)</f>
        <v>-112</v>
      </c>
      <c r="J56" s="34">
        <f>SUM(AH56:AI56)</f>
        <v>-75</v>
      </c>
      <c r="K56" s="34">
        <f>SUM(AJ56:AK56)</f>
        <v>-139</v>
      </c>
      <c r="L56" s="34">
        <f t="shared" si="43"/>
        <v>-4</v>
      </c>
      <c r="M56" s="34">
        <f t="shared" si="44"/>
        <v>-1</v>
      </c>
      <c r="N56" s="34">
        <v>0</v>
      </c>
      <c r="O56" s="34">
        <f>0</f>
        <v>0</v>
      </c>
      <c r="P56" s="34">
        <f>0</f>
        <v>0</v>
      </c>
      <c r="R56" s="34">
        <v>-493</v>
      </c>
      <c r="S56" s="34">
        <v>-534</v>
      </c>
      <c r="T56" s="34">
        <v>-1677</v>
      </c>
      <c r="U56" s="34">
        <v>-3829</v>
      </c>
      <c r="V56" s="34">
        <v>0</v>
      </c>
      <c r="W56" s="34">
        <v>0</v>
      </c>
      <c r="X56" s="34">
        <v>-964</v>
      </c>
      <c r="Y56" s="34">
        <v>964</v>
      </c>
      <c r="Z56" s="34">
        <v>-1182</v>
      </c>
      <c r="AA56" s="34">
        <v>1182</v>
      </c>
      <c r="AB56" s="34">
        <v>-128</v>
      </c>
      <c r="AC56" s="34">
        <v>-137</v>
      </c>
      <c r="AD56" s="34">
        <v>-377</v>
      </c>
      <c r="AE56" s="34">
        <v>114</v>
      </c>
      <c r="AF56" s="34">
        <v>-190</v>
      </c>
      <c r="AG56" s="34">
        <v>78</v>
      </c>
      <c r="AH56" s="34">
        <v>-826</v>
      </c>
      <c r="AI56" s="34">
        <v>751</v>
      </c>
      <c r="AJ56" s="34">
        <v>-104</v>
      </c>
      <c r="AK56" s="34">
        <v>-35</v>
      </c>
      <c r="AL56" s="34">
        <v>-6</v>
      </c>
      <c r="AM56" s="34">
        <v>2</v>
      </c>
      <c r="AN56" s="34">
        <v>-3</v>
      </c>
      <c r="AO56" s="34">
        <v>2</v>
      </c>
      <c r="AP56" s="34">
        <v>0</v>
      </c>
      <c r="AQ56" s="34">
        <f t="shared" si="45"/>
        <v>0</v>
      </c>
      <c r="AR56" s="34">
        <f>0</f>
        <v>0</v>
      </c>
      <c r="AS56" s="34">
        <f t="shared" si="46"/>
        <v>0</v>
      </c>
      <c r="AT56" s="34">
        <f>0</f>
        <v>0</v>
      </c>
      <c r="AU56" s="34">
        <f t="shared" si="11"/>
        <v>0</v>
      </c>
    </row>
    <row r="57" spans="1:47" x14ac:dyDescent="0.2">
      <c r="A57" s="6" t="s">
        <v>241</v>
      </c>
      <c r="B57" s="34">
        <f>SUM(R57:S57)</f>
        <v>0</v>
      </c>
      <c r="C57" s="34">
        <f>SUM(T57:U57)</f>
        <v>0</v>
      </c>
      <c r="D57" s="34">
        <f>SUM(V57:W57)</f>
        <v>1606</v>
      </c>
      <c r="E57" s="34">
        <f>SUM(X57:Y57)</f>
        <v>3038</v>
      </c>
      <c r="F57" s="34">
        <f>SUM(Z57:AA57)</f>
        <v>1155</v>
      </c>
      <c r="G57" s="34">
        <f>SUM(AB57:AC57)</f>
        <v>507</v>
      </c>
      <c r="H57" s="34">
        <f>SUM(AD57:AE57)</f>
        <v>385</v>
      </c>
      <c r="I57" s="34">
        <f>SUM(AF57:AG57)</f>
        <v>153</v>
      </c>
      <c r="J57" s="34">
        <f>SUM(AH57:AI57)</f>
        <v>1359</v>
      </c>
      <c r="K57" s="34">
        <f>SUM(AJ57:AK57)</f>
        <v>105</v>
      </c>
      <c r="L57" s="34">
        <f t="shared" si="43"/>
        <v>149</v>
      </c>
      <c r="M57" s="34">
        <f t="shared" si="44"/>
        <v>45</v>
      </c>
      <c r="N57" s="34">
        <f>SUM(AO57:AP57)</f>
        <v>0</v>
      </c>
      <c r="O57" s="34">
        <f>0</f>
        <v>0</v>
      </c>
      <c r="P57" s="34">
        <f>0</f>
        <v>0</v>
      </c>
      <c r="R57" s="34">
        <v>0</v>
      </c>
      <c r="S57" s="34">
        <v>0</v>
      </c>
      <c r="T57" s="34">
        <v>0</v>
      </c>
      <c r="U57" s="34">
        <v>0</v>
      </c>
      <c r="V57" s="34">
        <v>2850</v>
      </c>
      <c r="W57" s="34">
        <v>-1244</v>
      </c>
      <c r="X57" s="34">
        <v>0</v>
      </c>
      <c r="Y57" s="34">
        <v>3038</v>
      </c>
      <c r="Z57" s="34">
        <v>584</v>
      </c>
      <c r="AA57" s="34">
        <v>571</v>
      </c>
      <c r="AB57" s="34">
        <v>15</v>
      </c>
      <c r="AC57" s="34">
        <v>492</v>
      </c>
      <c r="AD57" s="34">
        <v>40</v>
      </c>
      <c r="AE57" s="34">
        <v>345</v>
      </c>
      <c r="AF57" s="34">
        <v>153</v>
      </c>
      <c r="AG57" s="34">
        <v>0</v>
      </c>
      <c r="AH57" s="34">
        <v>885</v>
      </c>
      <c r="AI57" s="34">
        <v>474</v>
      </c>
      <c r="AJ57" s="34">
        <v>105</v>
      </c>
      <c r="AK57" s="34">
        <v>0</v>
      </c>
      <c r="AL57" s="34">
        <v>125</v>
      </c>
      <c r="AM57" s="34">
        <v>24</v>
      </c>
      <c r="AN57" s="34">
        <v>45</v>
      </c>
      <c r="AO57" s="34">
        <v>0</v>
      </c>
      <c r="AP57" s="34">
        <v>0</v>
      </c>
      <c r="AQ57" s="34">
        <f t="shared" si="45"/>
        <v>0</v>
      </c>
      <c r="AR57" s="34">
        <f>0</f>
        <v>0</v>
      </c>
      <c r="AS57" s="34">
        <f t="shared" si="46"/>
        <v>0</v>
      </c>
      <c r="AT57" s="34">
        <f>-23</f>
        <v>-23</v>
      </c>
      <c r="AU57" s="34">
        <f t="shared" si="11"/>
        <v>23</v>
      </c>
    </row>
    <row r="58" spans="1:47" x14ac:dyDescent="0.2">
      <c r="A58" s="6" t="s">
        <v>322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>
        <f>-514</f>
        <v>-514</v>
      </c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>
        <f t="shared" si="11"/>
        <v>-514</v>
      </c>
    </row>
    <row r="59" spans="1:47" x14ac:dyDescent="0.2">
      <c r="A59" s="51" t="s">
        <v>242</v>
      </c>
      <c r="B59" s="80">
        <f t="shared" ref="B59:AS59" si="47">SUM(B47:B58)</f>
        <v>-1532</v>
      </c>
      <c r="C59" s="80">
        <f t="shared" si="47"/>
        <v>-5743</v>
      </c>
      <c r="D59" s="80">
        <f t="shared" si="47"/>
        <v>1821</v>
      </c>
      <c r="E59" s="80">
        <f t="shared" si="47"/>
        <v>3277</v>
      </c>
      <c r="F59" s="80">
        <f t="shared" si="47"/>
        <v>2228</v>
      </c>
      <c r="G59" s="80">
        <f t="shared" si="47"/>
        <v>367</v>
      </c>
      <c r="H59" s="80">
        <f t="shared" si="47"/>
        <v>892</v>
      </c>
      <c r="I59" s="80">
        <f t="shared" si="47"/>
        <v>596</v>
      </c>
      <c r="J59" s="80">
        <f t="shared" si="47"/>
        <v>-7037</v>
      </c>
      <c r="K59" s="80">
        <f t="shared" si="47"/>
        <v>1164</v>
      </c>
      <c r="L59" s="80">
        <f t="shared" si="47"/>
        <v>915</v>
      </c>
      <c r="M59" s="80">
        <f t="shared" si="47"/>
        <v>416</v>
      </c>
      <c r="N59" s="80">
        <f t="shared" si="47"/>
        <v>-8778</v>
      </c>
      <c r="O59" s="79">
        <f t="shared" si="47"/>
        <v>-4568</v>
      </c>
      <c r="P59" s="79">
        <f>SUM(P47:P58)</f>
        <v>-358</v>
      </c>
      <c r="R59" s="80">
        <f t="shared" si="47"/>
        <v>-524</v>
      </c>
      <c r="S59" s="80">
        <f t="shared" si="47"/>
        <v>-1008</v>
      </c>
      <c r="T59" s="80">
        <f t="shared" si="47"/>
        <v>-1670</v>
      </c>
      <c r="U59" s="80">
        <f t="shared" si="47"/>
        <v>-4073</v>
      </c>
      <c r="V59" s="80">
        <f t="shared" si="47"/>
        <v>3071</v>
      </c>
      <c r="W59" s="80">
        <f t="shared" si="47"/>
        <v>-1250</v>
      </c>
      <c r="X59" s="80">
        <f t="shared" si="47"/>
        <v>-871</v>
      </c>
      <c r="Y59" s="80">
        <f t="shared" si="47"/>
        <v>4148</v>
      </c>
      <c r="Z59" s="80">
        <f t="shared" si="47"/>
        <v>152</v>
      </c>
      <c r="AA59" s="80">
        <f t="shared" si="47"/>
        <v>2076</v>
      </c>
      <c r="AB59" s="80">
        <f t="shared" si="47"/>
        <v>270</v>
      </c>
      <c r="AC59" s="80">
        <f t="shared" si="47"/>
        <v>97</v>
      </c>
      <c r="AD59" s="80">
        <f t="shared" si="47"/>
        <v>443</v>
      </c>
      <c r="AE59" s="80">
        <f t="shared" si="47"/>
        <v>449</v>
      </c>
      <c r="AF59" s="80">
        <f t="shared" si="47"/>
        <v>157</v>
      </c>
      <c r="AG59" s="80">
        <f t="shared" si="47"/>
        <v>439</v>
      </c>
      <c r="AH59" s="80">
        <f t="shared" si="47"/>
        <v>-9452</v>
      </c>
      <c r="AI59" s="80">
        <f t="shared" si="47"/>
        <v>2415</v>
      </c>
      <c r="AJ59" s="80">
        <f t="shared" si="47"/>
        <v>593</v>
      </c>
      <c r="AK59" s="80">
        <f t="shared" si="47"/>
        <v>571</v>
      </c>
      <c r="AL59" s="80">
        <f t="shared" si="47"/>
        <v>969</v>
      </c>
      <c r="AM59" s="80">
        <f t="shared" si="47"/>
        <v>-54</v>
      </c>
      <c r="AN59" s="80">
        <f t="shared" si="47"/>
        <v>806</v>
      </c>
      <c r="AO59" s="80">
        <f t="shared" si="47"/>
        <v>-390</v>
      </c>
      <c r="AP59" s="80">
        <f t="shared" si="47"/>
        <v>168</v>
      </c>
      <c r="AQ59" s="80">
        <f t="shared" si="47"/>
        <v>-8946</v>
      </c>
      <c r="AR59" s="80">
        <f t="shared" si="47"/>
        <v>-641</v>
      </c>
      <c r="AS59" s="80">
        <f t="shared" si="47"/>
        <v>-3927</v>
      </c>
      <c r="AT59" s="80">
        <f>SUM(AT47:AT58)</f>
        <v>-1175</v>
      </c>
      <c r="AU59" s="80">
        <f t="shared" si="11"/>
        <v>817</v>
      </c>
    </row>
    <row r="60" spans="1:47" x14ac:dyDescent="0.2">
      <c r="A60" s="53"/>
      <c r="B60" s="34"/>
      <c r="C60" s="34"/>
      <c r="D60" s="34"/>
      <c r="E60" s="34"/>
      <c r="F60" s="34"/>
      <c r="G60" s="34"/>
      <c r="H60" s="34"/>
      <c r="I60" s="34"/>
      <c r="J60" s="34"/>
      <c r="K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R60" s="6"/>
      <c r="AT60" s="6"/>
      <c r="AU60" s="6"/>
    </row>
    <row r="61" spans="1:47" x14ac:dyDescent="0.2">
      <c r="A61" s="5" t="s">
        <v>243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R61" s="6"/>
      <c r="AT61" s="6"/>
      <c r="AU61" s="6"/>
    </row>
    <row r="62" spans="1:47" x14ac:dyDescent="0.2">
      <c r="A62" s="6" t="s">
        <v>244</v>
      </c>
      <c r="B62" s="34">
        <f t="shared" ref="B62:B77" si="48">SUM(R62:S62)</f>
        <v>13487</v>
      </c>
      <c r="C62" s="34">
        <f t="shared" ref="C62:C77" si="49">SUM(T62:U62)</f>
        <v>0</v>
      </c>
      <c r="D62" s="34">
        <f t="shared" ref="D62:D77" si="50">SUM(V62:W62)</f>
        <v>0</v>
      </c>
      <c r="E62" s="34">
        <f t="shared" ref="E62:E77" si="51">SUM(X62:Y62)</f>
        <v>0</v>
      </c>
      <c r="F62" s="34">
        <f t="shared" ref="F62:F77" si="52">SUM(Z62:AA62)</f>
        <v>0</v>
      </c>
      <c r="G62" s="34">
        <f t="shared" ref="G62:G77" si="53">SUM(AB62:AC62)</f>
        <v>0</v>
      </c>
      <c r="H62" s="34">
        <f t="shared" ref="H62:H77" si="54">SUM(AD62:AE62)</f>
        <v>0</v>
      </c>
      <c r="I62" s="34">
        <f t="shared" ref="I62:I77" si="55">SUM(AF62:AG62)</f>
        <v>0</v>
      </c>
      <c r="J62" s="34">
        <f t="shared" ref="J62:J77" si="56">SUM(AH62:AI62)</f>
        <v>0</v>
      </c>
      <c r="K62" s="34">
        <f t="shared" ref="K62:K77" si="57">SUM(AJ62:AK62)</f>
        <v>0</v>
      </c>
      <c r="L62" s="34">
        <f>SUM(AL62:AM62)</f>
        <v>0</v>
      </c>
      <c r="M62" s="34">
        <f>SUM(AN62:AO62)</f>
        <v>0</v>
      </c>
      <c r="N62" s="34">
        <f>SUM(AO62:AP62)</f>
        <v>0</v>
      </c>
      <c r="O62" s="34">
        <f>0</f>
        <v>0</v>
      </c>
      <c r="P62" s="34">
        <f>0</f>
        <v>0</v>
      </c>
      <c r="R62" s="34">
        <v>13487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/>
      <c r="AQ62" s="34">
        <f t="shared" ref="AQ62:AQ70" si="58">N62-AP62</f>
        <v>0</v>
      </c>
      <c r="AR62" s="34">
        <f>0</f>
        <v>0</v>
      </c>
      <c r="AS62" s="34">
        <f t="shared" ref="AS62:AS70" si="59">O62-AR62</f>
        <v>0</v>
      </c>
      <c r="AT62" s="34">
        <f>0</f>
        <v>0</v>
      </c>
      <c r="AU62" s="34">
        <f t="shared" si="11"/>
        <v>0</v>
      </c>
    </row>
    <row r="63" spans="1:47" x14ac:dyDescent="0.2">
      <c r="A63" s="6" t="s">
        <v>245</v>
      </c>
      <c r="B63" s="34">
        <f t="shared" si="48"/>
        <v>0</v>
      </c>
      <c r="C63" s="34">
        <f t="shared" si="49"/>
        <v>0</v>
      </c>
      <c r="D63" s="34">
        <f t="shared" si="50"/>
        <v>0</v>
      </c>
      <c r="E63" s="34">
        <f t="shared" si="51"/>
        <v>0</v>
      </c>
      <c r="F63" s="34">
        <f t="shared" si="52"/>
        <v>0</v>
      </c>
      <c r="G63" s="34">
        <f t="shared" si="53"/>
        <v>0</v>
      </c>
      <c r="H63" s="34">
        <f t="shared" si="54"/>
        <v>0</v>
      </c>
      <c r="I63" s="34">
        <f t="shared" si="55"/>
        <v>0</v>
      </c>
      <c r="J63" s="34">
        <f t="shared" si="56"/>
        <v>0</v>
      </c>
      <c r="K63" s="34">
        <f t="shared" si="57"/>
        <v>0</v>
      </c>
      <c r="L63" s="34">
        <f t="shared" ref="L63:L73" si="60">SUM(AL63:AM63)</f>
        <v>10881</v>
      </c>
      <c r="M63" s="34">
        <f>SUM(AN63:AO63)</f>
        <v>0</v>
      </c>
      <c r="N63" s="34">
        <f>SUM(AO63:AP63)</f>
        <v>0</v>
      </c>
      <c r="O63" s="34">
        <f>0</f>
        <v>0</v>
      </c>
      <c r="P63" s="34">
        <f>0</f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G63" s="34">
        <v>0</v>
      </c>
      <c r="AH63" s="34">
        <v>0</v>
      </c>
      <c r="AI63" s="34">
        <v>0</v>
      </c>
      <c r="AJ63" s="34">
        <v>0</v>
      </c>
      <c r="AK63" s="34">
        <v>0</v>
      </c>
      <c r="AL63" s="34">
        <v>11003</v>
      </c>
      <c r="AM63" s="34">
        <v>-122</v>
      </c>
      <c r="AN63" s="34">
        <v>0</v>
      </c>
      <c r="AO63" s="34">
        <v>0</v>
      </c>
      <c r="AP63" s="34"/>
      <c r="AQ63" s="34">
        <f t="shared" si="58"/>
        <v>0</v>
      </c>
      <c r="AR63" s="34">
        <f>0</f>
        <v>0</v>
      </c>
      <c r="AS63" s="34">
        <f t="shared" si="59"/>
        <v>0</v>
      </c>
      <c r="AT63" s="34">
        <f>0</f>
        <v>0</v>
      </c>
      <c r="AU63" s="34">
        <f t="shared" si="11"/>
        <v>0</v>
      </c>
    </row>
    <row r="64" spans="1:47" x14ac:dyDescent="0.2">
      <c r="A64" s="6" t="s">
        <v>246</v>
      </c>
      <c r="B64" s="34">
        <f t="shared" si="48"/>
        <v>6353</v>
      </c>
      <c r="C64" s="34">
        <f t="shared" si="49"/>
        <v>12140</v>
      </c>
      <c r="D64" s="34">
        <f t="shared" si="50"/>
        <v>5937</v>
      </c>
      <c r="E64" s="34">
        <f t="shared" si="51"/>
        <v>10763</v>
      </c>
      <c r="F64" s="34">
        <f t="shared" si="52"/>
        <v>9480</v>
      </c>
      <c r="G64" s="34">
        <f t="shared" si="53"/>
        <v>9016</v>
      </c>
      <c r="H64" s="34">
        <f t="shared" si="54"/>
        <v>15889</v>
      </c>
      <c r="I64" s="34">
        <f t="shared" si="55"/>
        <v>4707</v>
      </c>
      <c r="J64" s="34">
        <f t="shared" si="56"/>
        <v>30332</v>
      </c>
      <c r="K64" s="34">
        <f t="shared" si="57"/>
        <v>8691</v>
      </c>
      <c r="L64" s="34">
        <f t="shared" si="60"/>
        <v>49071</v>
      </c>
      <c r="M64" s="34">
        <f t="shared" ref="M64:M70" si="61">SUM(AN64:AO64)</f>
        <v>43008</v>
      </c>
      <c r="N64" s="34">
        <v>73292</v>
      </c>
      <c r="O64" s="34">
        <f>120278</f>
        <v>120278</v>
      </c>
      <c r="P64" s="34">
        <f>116621</f>
        <v>116621</v>
      </c>
      <c r="R64" s="34">
        <v>2280</v>
      </c>
      <c r="S64" s="34">
        <v>4073</v>
      </c>
      <c r="T64" s="34">
        <v>2769</v>
      </c>
      <c r="U64" s="34">
        <v>9371</v>
      </c>
      <c r="V64" s="34">
        <v>2785</v>
      </c>
      <c r="W64" s="34">
        <v>3152</v>
      </c>
      <c r="X64" s="34">
        <v>5627</v>
      </c>
      <c r="Y64" s="34">
        <v>5136</v>
      </c>
      <c r="Z64" s="34">
        <v>4707</v>
      </c>
      <c r="AA64" s="34">
        <v>4773</v>
      </c>
      <c r="AB64" s="34">
        <v>5882</v>
      </c>
      <c r="AC64" s="34">
        <v>3134</v>
      </c>
      <c r="AD64" s="34">
        <v>4671</v>
      </c>
      <c r="AE64" s="34">
        <v>11218</v>
      </c>
      <c r="AF64" s="34">
        <v>3609</v>
      </c>
      <c r="AG64" s="34">
        <v>1098</v>
      </c>
      <c r="AH64" s="34">
        <v>15719</v>
      </c>
      <c r="AI64" s="34">
        <v>14613</v>
      </c>
      <c r="AJ64" s="34">
        <v>1367</v>
      </c>
      <c r="AK64" s="34">
        <v>7324</v>
      </c>
      <c r="AL64" s="34">
        <v>17855</v>
      </c>
      <c r="AM64" s="34">
        <v>31216</v>
      </c>
      <c r="AN64" s="34">
        <v>22739</v>
      </c>
      <c r="AO64" s="34">
        <v>20269</v>
      </c>
      <c r="AP64" s="34">
        <v>35652</v>
      </c>
      <c r="AQ64" s="34">
        <f t="shared" si="58"/>
        <v>37640</v>
      </c>
      <c r="AR64" s="34">
        <f>51071</f>
        <v>51071</v>
      </c>
      <c r="AS64" s="34">
        <f t="shared" si="59"/>
        <v>69207</v>
      </c>
      <c r="AT64" s="34">
        <f>51677</f>
        <v>51677</v>
      </c>
      <c r="AU64" s="34">
        <f t="shared" si="11"/>
        <v>64944</v>
      </c>
    </row>
    <row r="65" spans="1:47" x14ac:dyDescent="0.2">
      <c r="A65" s="6" t="s">
        <v>247</v>
      </c>
      <c r="B65" s="34">
        <f t="shared" si="48"/>
        <v>-4821</v>
      </c>
      <c r="C65" s="34">
        <f t="shared" si="49"/>
        <v>-5552</v>
      </c>
      <c r="D65" s="34">
        <f t="shared" si="50"/>
        <v>-9668</v>
      </c>
      <c r="E65" s="34">
        <f t="shared" si="51"/>
        <v>-8498</v>
      </c>
      <c r="F65" s="34">
        <f t="shared" si="52"/>
        <v>-6281</v>
      </c>
      <c r="G65" s="34">
        <f t="shared" si="53"/>
        <v>-10404</v>
      </c>
      <c r="H65" s="34">
        <f t="shared" si="54"/>
        <v>-10009</v>
      </c>
      <c r="I65" s="34">
        <f t="shared" si="55"/>
        <v>-7719</v>
      </c>
      <c r="J65" s="34">
        <f t="shared" si="56"/>
        <v>-4432</v>
      </c>
      <c r="K65" s="34">
        <f t="shared" si="57"/>
        <v>-10108</v>
      </c>
      <c r="L65" s="34">
        <f t="shared" si="60"/>
        <v>-14635</v>
      </c>
      <c r="M65" s="34">
        <f t="shared" si="61"/>
        <v>-11166</v>
      </c>
      <c r="N65" s="34">
        <v>-29150</v>
      </c>
      <c r="O65" s="34">
        <f>-29746</f>
        <v>-29746</v>
      </c>
      <c r="P65" s="34">
        <f>-34989</f>
        <v>-34989</v>
      </c>
      <c r="R65" s="34">
        <v>-777</v>
      </c>
      <c r="S65" s="34">
        <v>-4044</v>
      </c>
      <c r="T65" s="34">
        <v>-2450</v>
      </c>
      <c r="U65" s="34">
        <v>-3102</v>
      </c>
      <c r="V65" s="34">
        <v>-6624</v>
      </c>
      <c r="W65" s="34">
        <v>-3044</v>
      </c>
      <c r="X65" s="34">
        <v>-4278</v>
      </c>
      <c r="Y65" s="34">
        <v>-4220</v>
      </c>
      <c r="Z65" s="34">
        <v>-2323</v>
      </c>
      <c r="AA65" s="34">
        <v>-3958</v>
      </c>
      <c r="AB65" s="34">
        <v>-3635</v>
      </c>
      <c r="AC65" s="34">
        <v>-6769</v>
      </c>
      <c r="AD65" s="34">
        <v>-3678</v>
      </c>
      <c r="AE65" s="34">
        <v>-6331</v>
      </c>
      <c r="AF65" s="34">
        <v>-4716</v>
      </c>
      <c r="AG65" s="34">
        <v>-3003</v>
      </c>
      <c r="AH65" s="34">
        <v>-2126</v>
      </c>
      <c r="AI65" s="34">
        <v>-2306</v>
      </c>
      <c r="AJ65" s="34">
        <v>-4958</v>
      </c>
      <c r="AK65" s="34">
        <v>-5150</v>
      </c>
      <c r="AL65" s="34">
        <v>-7361</v>
      </c>
      <c r="AM65" s="34">
        <v>-7274</v>
      </c>
      <c r="AN65" s="34">
        <v>-6493</v>
      </c>
      <c r="AO65" s="34">
        <v>-4673</v>
      </c>
      <c r="AP65" s="34">
        <v>-13683</v>
      </c>
      <c r="AQ65" s="34">
        <f t="shared" si="58"/>
        <v>-15467</v>
      </c>
      <c r="AR65" s="34">
        <f>-11014</f>
        <v>-11014</v>
      </c>
      <c r="AS65" s="34">
        <f t="shared" si="59"/>
        <v>-18732</v>
      </c>
      <c r="AT65" s="34">
        <f>-14598</f>
        <v>-14598</v>
      </c>
      <c r="AU65" s="34">
        <f t="shared" si="11"/>
        <v>-20391</v>
      </c>
    </row>
    <row r="66" spans="1:47" x14ac:dyDescent="0.2">
      <c r="A66" s="6" t="s">
        <v>248</v>
      </c>
      <c r="B66" s="34">
        <f t="shared" si="48"/>
        <v>-3</v>
      </c>
      <c r="C66" s="34">
        <f t="shared" si="49"/>
        <v>-3</v>
      </c>
      <c r="D66" s="34">
        <f t="shared" si="50"/>
        <v>-10</v>
      </c>
      <c r="E66" s="34">
        <f t="shared" si="51"/>
        <v>-83</v>
      </c>
      <c r="F66" s="34">
        <f t="shared" si="52"/>
        <v>-20</v>
      </c>
      <c r="G66" s="34">
        <f t="shared" si="53"/>
        <v>-94</v>
      </c>
      <c r="H66" s="34">
        <f t="shared" si="54"/>
        <v>-29</v>
      </c>
      <c r="I66" s="34">
        <f t="shared" si="55"/>
        <v>0</v>
      </c>
      <c r="J66" s="34">
        <f t="shared" si="56"/>
        <v>-14600</v>
      </c>
      <c r="K66" s="34">
        <f t="shared" si="57"/>
        <v>0</v>
      </c>
      <c r="L66" s="34">
        <f t="shared" si="60"/>
        <v>0</v>
      </c>
      <c r="M66" s="34">
        <f t="shared" si="61"/>
        <v>0</v>
      </c>
      <c r="N66" s="34">
        <f t="shared" ref="N66:O68" si="62">SUM(AO66:AP66)</f>
        <v>0</v>
      </c>
      <c r="O66" s="34">
        <f t="shared" si="62"/>
        <v>0</v>
      </c>
      <c r="P66" s="34">
        <f>0</f>
        <v>0</v>
      </c>
      <c r="R66" s="34">
        <v>0</v>
      </c>
      <c r="S66" s="34">
        <v>-3</v>
      </c>
      <c r="T66" s="34">
        <v>0</v>
      </c>
      <c r="U66" s="34">
        <v>-3</v>
      </c>
      <c r="V66" s="34">
        <v>0</v>
      </c>
      <c r="W66" s="34">
        <v>-10</v>
      </c>
      <c r="X66" s="34">
        <v>0</v>
      </c>
      <c r="Y66" s="34">
        <v>-83</v>
      </c>
      <c r="Z66" s="34">
        <v>-66</v>
      </c>
      <c r="AA66" s="34">
        <v>46</v>
      </c>
      <c r="AB66" s="34">
        <v>-38</v>
      </c>
      <c r="AC66" s="34">
        <v>-56</v>
      </c>
      <c r="AD66" s="34">
        <v>-30</v>
      </c>
      <c r="AE66" s="34">
        <v>1</v>
      </c>
      <c r="AF66" s="34">
        <v>0</v>
      </c>
      <c r="AG66" s="34">
        <v>0</v>
      </c>
      <c r="AH66" s="34">
        <v>0</v>
      </c>
      <c r="AI66" s="34">
        <v>-14600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f t="shared" si="58"/>
        <v>0</v>
      </c>
      <c r="AR66" s="34">
        <f>0</f>
        <v>0</v>
      </c>
      <c r="AS66" s="34">
        <f t="shared" si="59"/>
        <v>0</v>
      </c>
      <c r="AT66" s="34">
        <f>0</f>
        <v>0</v>
      </c>
      <c r="AU66" s="34">
        <f t="shared" si="11"/>
        <v>0</v>
      </c>
    </row>
    <row r="67" spans="1:47" x14ac:dyDescent="0.2">
      <c r="A67" s="6" t="s">
        <v>249</v>
      </c>
      <c r="B67" s="34">
        <f t="shared" si="48"/>
        <v>24</v>
      </c>
      <c r="C67" s="34">
        <f t="shared" si="49"/>
        <v>0</v>
      </c>
      <c r="D67" s="34">
        <f t="shared" si="50"/>
        <v>0</v>
      </c>
      <c r="E67" s="34">
        <f t="shared" si="51"/>
        <v>0</v>
      </c>
      <c r="F67" s="34">
        <f t="shared" si="52"/>
        <v>0</v>
      </c>
      <c r="G67" s="34">
        <f t="shared" si="53"/>
        <v>0</v>
      </c>
      <c r="H67" s="34">
        <f t="shared" si="54"/>
        <v>0</v>
      </c>
      <c r="I67" s="34">
        <f t="shared" si="55"/>
        <v>0</v>
      </c>
      <c r="J67" s="34">
        <f t="shared" si="56"/>
        <v>0</v>
      </c>
      <c r="K67" s="34">
        <f t="shared" si="57"/>
        <v>0</v>
      </c>
      <c r="L67" s="34">
        <f t="shared" si="60"/>
        <v>0</v>
      </c>
      <c r="M67" s="34">
        <f t="shared" si="61"/>
        <v>0</v>
      </c>
      <c r="N67" s="34">
        <f t="shared" si="62"/>
        <v>0</v>
      </c>
      <c r="O67" s="34">
        <f t="shared" si="62"/>
        <v>0</v>
      </c>
      <c r="P67" s="34">
        <f>0</f>
        <v>0</v>
      </c>
      <c r="R67" s="34">
        <v>24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f t="shared" si="58"/>
        <v>0</v>
      </c>
      <c r="AR67" s="34">
        <f>0</f>
        <v>0</v>
      </c>
      <c r="AS67" s="34">
        <f t="shared" si="59"/>
        <v>0</v>
      </c>
      <c r="AT67" s="34">
        <f>0</f>
        <v>0</v>
      </c>
      <c r="AU67" s="34">
        <f t="shared" si="11"/>
        <v>0</v>
      </c>
    </row>
    <row r="68" spans="1:47" x14ac:dyDescent="0.2">
      <c r="A68" s="6" t="s">
        <v>250</v>
      </c>
      <c r="B68" s="34">
        <f t="shared" si="48"/>
        <v>-459</v>
      </c>
      <c r="C68" s="34">
        <f t="shared" si="49"/>
        <v>-13</v>
      </c>
      <c r="D68" s="34">
        <f t="shared" si="50"/>
        <v>0</v>
      </c>
      <c r="E68" s="34">
        <f t="shared" si="51"/>
        <v>16</v>
      </c>
      <c r="F68" s="34">
        <f t="shared" si="52"/>
        <v>16</v>
      </c>
      <c r="G68" s="34">
        <f t="shared" si="53"/>
        <v>0</v>
      </c>
      <c r="H68" s="34">
        <f t="shared" si="54"/>
        <v>-628</v>
      </c>
      <c r="I68" s="34">
        <f t="shared" si="55"/>
        <v>-651</v>
      </c>
      <c r="J68" s="34">
        <f t="shared" si="56"/>
        <v>0</v>
      </c>
      <c r="K68" s="34">
        <f t="shared" si="57"/>
        <v>0</v>
      </c>
      <c r="L68" s="34">
        <f t="shared" si="60"/>
        <v>0</v>
      </c>
      <c r="M68" s="34">
        <f t="shared" si="61"/>
        <v>0</v>
      </c>
      <c r="N68" s="34">
        <f t="shared" si="62"/>
        <v>0</v>
      </c>
      <c r="O68" s="34">
        <f t="shared" si="62"/>
        <v>0</v>
      </c>
      <c r="P68" s="34">
        <f>0</f>
        <v>0</v>
      </c>
      <c r="R68" s="34">
        <v>0</v>
      </c>
      <c r="S68" s="34">
        <v>-459</v>
      </c>
      <c r="T68" s="34">
        <v>-13</v>
      </c>
      <c r="U68" s="34">
        <v>0</v>
      </c>
      <c r="V68" s="34">
        <v>0</v>
      </c>
      <c r="W68" s="34">
        <v>0</v>
      </c>
      <c r="X68" s="34">
        <v>16</v>
      </c>
      <c r="Y68" s="34">
        <v>0</v>
      </c>
      <c r="Z68" s="34">
        <v>0</v>
      </c>
      <c r="AA68" s="34">
        <v>16</v>
      </c>
      <c r="AB68" s="34">
        <v>0</v>
      </c>
      <c r="AC68" s="34">
        <v>0</v>
      </c>
      <c r="AD68" s="34">
        <v>0</v>
      </c>
      <c r="AE68" s="34">
        <v>-628</v>
      </c>
      <c r="AF68" s="34">
        <v>-651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f t="shared" si="58"/>
        <v>0</v>
      </c>
      <c r="AR68" s="34">
        <f>0</f>
        <v>0</v>
      </c>
      <c r="AS68" s="34">
        <f t="shared" si="59"/>
        <v>0</v>
      </c>
      <c r="AT68" s="34">
        <f>0</f>
        <v>0</v>
      </c>
      <c r="AU68" s="34">
        <f t="shared" si="11"/>
        <v>0</v>
      </c>
    </row>
    <row r="69" spans="1:47" x14ac:dyDescent="0.2">
      <c r="A69" s="6" t="s">
        <v>251</v>
      </c>
      <c r="B69" s="34">
        <f t="shared" si="48"/>
        <v>0</v>
      </c>
      <c r="C69" s="34">
        <f t="shared" si="49"/>
        <v>0</v>
      </c>
      <c r="D69" s="34">
        <f t="shared" si="50"/>
        <v>0</v>
      </c>
      <c r="E69" s="34">
        <f t="shared" si="51"/>
        <v>0</v>
      </c>
      <c r="F69" s="34">
        <f t="shared" si="52"/>
        <v>0</v>
      </c>
      <c r="G69" s="34">
        <f t="shared" si="53"/>
        <v>0</v>
      </c>
      <c r="H69" s="34">
        <f t="shared" si="54"/>
        <v>0</v>
      </c>
      <c r="I69" s="34">
        <f t="shared" si="55"/>
        <v>0</v>
      </c>
      <c r="J69" s="34">
        <f t="shared" si="56"/>
        <v>-939</v>
      </c>
      <c r="K69" s="34">
        <f t="shared" si="57"/>
        <v>-645</v>
      </c>
      <c r="L69" s="34">
        <f t="shared" si="60"/>
        <v>-1775</v>
      </c>
      <c r="M69" s="34">
        <f t="shared" si="61"/>
        <v>-2144</v>
      </c>
      <c r="N69" s="34">
        <v>-2966</v>
      </c>
      <c r="O69" s="34">
        <f>-1763</f>
        <v>-1763</v>
      </c>
      <c r="P69" s="34">
        <f>-1171</f>
        <v>-1171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-363</v>
      </c>
      <c r="AI69" s="34">
        <v>-576</v>
      </c>
      <c r="AJ69" s="34">
        <v>-52</v>
      </c>
      <c r="AK69" s="34">
        <v>-593</v>
      </c>
      <c r="AL69" s="34">
        <v>-707</v>
      </c>
      <c r="AM69" s="34">
        <v>-1068</v>
      </c>
      <c r="AN69" s="34">
        <v>-590</v>
      </c>
      <c r="AO69" s="34">
        <v>-1554</v>
      </c>
      <c r="AP69" s="34">
        <v>-1168</v>
      </c>
      <c r="AQ69" s="34">
        <f t="shared" si="58"/>
        <v>-1798</v>
      </c>
      <c r="AR69" s="34">
        <f>-426</f>
        <v>-426</v>
      </c>
      <c r="AS69" s="34">
        <f t="shared" si="59"/>
        <v>-1337</v>
      </c>
      <c r="AT69" s="34">
        <f>-223</f>
        <v>-223</v>
      </c>
      <c r="AU69" s="34">
        <f t="shared" si="11"/>
        <v>-948</v>
      </c>
    </row>
    <row r="70" spans="1:47" x14ac:dyDescent="0.2">
      <c r="A70" s="6" t="s">
        <v>252</v>
      </c>
      <c r="B70" s="34">
        <f t="shared" si="48"/>
        <v>0</v>
      </c>
      <c r="C70" s="34">
        <f t="shared" si="49"/>
        <v>0</v>
      </c>
      <c r="D70" s="34">
        <f t="shared" si="50"/>
        <v>0</v>
      </c>
      <c r="E70" s="34">
        <f t="shared" si="51"/>
        <v>-1124</v>
      </c>
      <c r="F70" s="34">
        <f t="shared" si="52"/>
        <v>-2452</v>
      </c>
      <c r="G70" s="34">
        <f t="shared" si="53"/>
        <v>-1504</v>
      </c>
      <c r="H70" s="34">
        <f t="shared" si="54"/>
        <v>-2542</v>
      </c>
      <c r="I70" s="34">
        <f t="shared" si="55"/>
        <v>-3567</v>
      </c>
      <c r="J70" s="34">
        <f t="shared" si="56"/>
        <v>-3599</v>
      </c>
      <c r="K70" s="34">
        <f t="shared" si="57"/>
        <v>-3527</v>
      </c>
      <c r="L70" s="34">
        <f t="shared" si="60"/>
        <v>-3613</v>
      </c>
      <c r="M70" s="34">
        <f t="shared" si="61"/>
        <v>0</v>
      </c>
      <c r="N70" s="34">
        <f>SUM(AO70:AP70)</f>
        <v>0</v>
      </c>
      <c r="O70" s="34">
        <f ca="1">SUM(AR70:AS70)</f>
        <v>0</v>
      </c>
      <c r="P70" s="34">
        <f ca="1">SUM(AT70:AU70)</f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-1124</v>
      </c>
      <c r="Z70" s="34">
        <v>-1834</v>
      </c>
      <c r="AA70" s="34">
        <v>-618</v>
      </c>
      <c r="AB70" s="34">
        <v>-961</v>
      </c>
      <c r="AC70" s="34">
        <v>-543</v>
      </c>
      <c r="AD70" s="34">
        <v>0</v>
      </c>
      <c r="AE70" s="34">
        <v>-2542</v>
      </c>
      <c r="AF70" s="34">
        <v>0</v>
      </c>
      <c r="AG70" s="34">
        <v>-3567</v>
      </c>
      <c r="AH70" s="34">
        <v>-13</v>
      </c>
      <c r="AI70" s="34">
        <v>-3586</v>
      </c>
      <c r="AJ70" s="34">
        <v>0</v>
      </c>
      <c r="AK70" s="34">
        <v>-3527</v>
      </c>
      <c r="AL70" s="34">
        <v>0</v>
      </c>
      <c r="AM70" s="34">
        <v>-3613</v>
      </c>
      <c r="AN70" s="34">
        <v>0</v>
      </c>
      <c r="AO70" s="34">
        <v>0</v>
      </c>
      <c r="AP70" s="34">
        <v>0</v>
      </c>
      <c r="AQ70" s="34">
        <f t="shared" si="58"/>
        <v>0</v>
      </c>
      <c r="AR70" s="34">
        <f>0</f>
        <v>0</v>
      </c>
      <c r="AS70" s="34">
        <f t="shared" ca="1" si="59"/>
        <v>0</v>
      </c>
      <c r="AT70" s="34">
        <f>0</f>
        <v>0</v>
      </c>
      <c r="AU70" s="34">
        <f ca="1">P70-AT70</f>
        <v>0</v>
      </c>
    </row>
    <row r="71" spans="1:47" x14ac:dyDescent="0.2">
      <c r="A71" s="6" t="s">
        <v>323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>
        <f>205</f>
        <v>205</v>
      </c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>
        <f t="shared" si="11"/>
        <v>205</v>
      </c>
    </row>
    <row r="72" spans="1:47" x14ac:dyDescent="0.2">
      <c r="A72" s="6" t="s">
        <v>324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>
        <f>2000</f>
        <v>2000</v>
      </c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>
        <f t="shared" si="11"/>
        <v>2000</v>
      </c>
    </row>
    <row r="73" spans="1:47" x14ac:dyDescent="0.2">
      <c r="A73" s="51" t="s">
        <v>253</v>
      </c>
      <c r="B73" s="79">
        <f t="shared" si="48"/>
        <v>14581</v>
      </c>
      <c r="C73" s="79">
        <f t="shared" si="49"/>
        <v>6572</v>
      </c>
      <c r="D73" s="79">
        <f t="shared" si="50"/>
        <v>-3741</v>
      </c>
      <c r="E73" s="79">
        <f t="shared" si="51"/>
        <v>1074</v>
      </c>
      <c r="F73" s="79">
        <f t="shared" si="52"/>
        <v>743</v>
      </c>
      <c r="G73" s="79">
        <f t="shared" si="53"/>
        <v>-2986</v>
      </c>
      <c r="H73" s="79">
        <f t="shared" si="54"/>
        <v>2681</v>
      </c>
      <c r="I73" s="79">
        <f t="shared" si="55"/>
        <v>-7230</v>
      </c>
      <c r="J73" s="79">
        <f t="shared" si="56"/>
        <v>6762</v>
      </c>
      <c r="K73" s="79">
        <f t="shared" si="57"/>
        <v>-5589</v>
      </c>
      <c r="L73" s="79">
        <f t="shared" si="60"/>
        <v>39929</v>
      </c>
      <c r="M73" s="79">
        <v>29698</v>
      </c>
      <c r="N73" s="79">
        <f>SUM(N62:N70)</f>
        <v>41176</v>
      </c>
      <c r="O73" s="79">
        <f t="shared" ref="O73" ca="1" si="63">SUM(O62:O72)</f>
        <v>88769</v>
      </c>
      <c r="P73" s="79">
        <f ca="1">SUM(P62:P72)</f>
        <v>82666</v>
      </c>
      <c r="Q73" s="32"/>
      <c r="R73" s="79">
        <v>15014</v>
      </c>
      <c r="S73" s="79">
        <v>-433</v>
      </c>
      <c r="T73" s="79">
        <v>306</v>
      </c>
      <c r="U73" s="79">
        <v>6266</v>
      </c>
      <c r="V73" s="79">
        <v>-3839</v>
      </c>
      <c r="W73" s="79">
        <v>98</v>
      </c>
      <c r="X73" s="79">
        <v>1365</v>
      </c>
      <c r="Y73" s="79">
        <v>-291</v>
      </c>
      <c r="Z73" s="79">
        <v>484</v>
      </c>
      <c r="AA73" s="79">
        <v>259</v>
      </c>
      <c r="AB73" s="79">
        <v>1248</v>
      </c>
      <c r="AC73" s="79">
        <v>-4234</v>
      </c>
      <c r="AD73" s="79">
        <v>963</v>
      </c>
      <c r="AE73" s="79">
        <v>1718</v>
      </c>
      <c r="AF73" s="79">
        <v>-1758</v>
      </c>
      <c r="AG73" s="79">
        <v>-5472</v>
      </c>
      <c r="AH73" s="79">
        <v>13217</v>
      </c>
      <c r="AI73" s="79">
        <v>-6455</v>
      </c>
      <c r="AJ73" s="79">
        <v>-3643</v>
      </c>
      <c r="AK73" s="79">
        <v>-1946</v>
      </c>
      <c r="AL73" s="80">
        <v>20790</v>
      </c>
      <c r="AM73" s="80">
        <v>19139</v>
      </c>
      <c r="AN73" s="80">
        <f>SUM(AN62:AN70)</f>
        <v>15656</v>
      </c>
      <c r="AO73" s="80">
        <f>SUM(AO62:AO70)</f>
        <v>14042</v>
      </c>
      <c r="AP73" s="80">
        <f>SUM(AP62:AP70)</f>
        <v>20801</v>
      </c>
      <c r="AQ73" s="80">
        <f>N73-AP73</f>
        <v>20375</v>
      </c>
      <c r="AR73" s="80">
        <f>SUM(AR62:AR70)</f>
        <v>39631</v>
      </c>
      <c r="AS73" s="80">
        <f ca="1">O73-AR73</f>
        <v>49138</v>
      </c>
      <c r="AT73" s="80">
        <f>SUM(AT62:AT70)</f>
        <v>36856</v>
      </c>
      <c r="AU73" s="80">
        <f t="shared" ca="1" si="11"/>
        <v>45810</v>
      </c>
    </row>
    <row r="74" spans="1:47" x14ac:dyDescent="0.2">
      <c r="B74" s="34"/>
      <c r="C74" s="34"/>
      <c r="D74" s="34"/>
      <c r="E74" s="34"/>
      <c r="F74" s="34"/>
      <c r="G74" s="34"/>
      <c r="H74" s="34"/>
      <c r="I74" s="34"/>
      <c r="J74" s="34"/>
      <c r="K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R74" s="6"/>
      <c r="AT74" s="6"/>
      <c r="AU74" s="6"/>
    </row>
    <row r="75" spans="1:47" x14ac:dyDescent="0.2">
      <c r="A75" s="53" t="s">
        <v>254</v>
      </c>
      <c r="B75" s="78">
        <f t="shared" ref="B75:M75" si="64">B73+B59+B44</f>
        <v>9176</v>
      </c>
      <c r="C75" s="78">
        <f t="shared" si="64"/>
        <v>-3295</v>
      </c>
      <c r="D75" s="78">
        <f t="shared" si="64"/>
        <v>-2966</v>
      </c>
      <c r="E75" s="78">
        <f t="shared" si="64"/>
        <v>4862</v>
      </c>
      <c r="F75" s="78">
        <f t="shared" si="64"/>
        <v>-2842</v>
      </c>
      <c r="G75" s="78">
        <f t="shared" si="64"/>
        <v>-1182</v>
      </c>
      <c r="H75" s="78">
        <f t="shared" si="64"/>
        <v>3997</v>
      </c>
      <c r="I75" s="78">
        <f t="shared" si="64"/>
        <v>8523</v>
      </c>
      <c r="J75" s="78">
        <f t="shared" si="64"/>
        <v>8237</v>
      </c>
      <c r="K75" s="78">
        <f t="shared" si="64"/>
        <v>-5322</v>
      </c>
      <c r="L75" s="78">
        <f t="shared" si="64"/>
        <v>19041</v>
      </c>
      <c r="M75" s="78">
        <f t="shared" si="64"/>
        <v>-20701</v>
      </c>
      <c r="N75" s="78">
        <f>N73+N59+N44</f>
        <v>-14133</v>
      </c>
      <c r="O75" s="78">
        <f ca="1">O73+O59+O44</f>
        <v>-5408</v>
      </c>
      <c r="P75" s="78">
        <f ca="1">P73+P59+P44</f>
        <v>576</v>
      </c>
      <c r="Q75" s="40"/>
      <c r="R75" s="78">
        <v>12714</v>
      </c>
      <c r="S75" s="78">
        <v>-3538</v>
      </c>
      <c r="T75" s="78">
        <v>-1249</v>
      </c>
      <c r="U75" s="78">
        <v>-2046</v>
      </c>
      <c r="V75" s="78">
        <v>-2556</v>
      </c>
      <c r="W75" s="78">
        <v>-410</v>
      </c>
      <c r="X75" s="78">
        <v>1396</v>
      </c>
      <c r="Y75" s="78">
        <v>3466</v>
      </c>
      <c r="Z75" s="78">
        <v>-3982</v>
      </c>
      <c r="AA75" s="78">
        <v>1140</v>
      </c>
      <c r="AB75" s="78">
        <v>4348</v>
      </c>
      <c r="AC75" s="78">
        <v>-5530</v>
      </c>
      <c r="AD75" s="78">
        <v>-796</v>
      </c>
      <c r="AE75" s="78">
        <v>4793</v>
      </c>
      <c r="AF75" s="78">
        <v>4500</v>
      </c>
      <c r="AG75" s="78">
        <v>4023</v>
      </c>
      <c r="AH75" s="78">
        <v>12797</v>
      </c>
      <c r="AI75" s="78">
        <v>-4560</v>
      </c>
      <c r="AJ75" s="78">
        <v>-6478</v>
      </c>
      <c r="AK75" s="78">
        <v>1156</v>
      </c>
      <c r="AL75" s="34">
        <v>14450</v>
      </c>
      <c r="AM75" s="34">
        <v>4591</v>
      </c>
      <c r="AN75" s="34">
        <f>AN73+AN59+AN44</f>
        <v>-5221</v>
      </c>
      <c r="AO75" s="34">
        <v>-15480</v>
      </c>
      <c r="AP75" s="34">
        <f>AP73+AP59+AP44</f>
        <v>1548</v>
      </c>
      <c r="AQ75" s="34">
        <f>AQ73+AQ59+AQ44</f>
        <v>-15681</v>
      </c>
      <c r="AR75" s="34">
        <f>AR73+AR59+AR44</f>
        <v>-2721</v>
      </c>
      <c r="AS75" s="34">
        <f ca="1">O75-AR75</f>
        <v>-2687</v>
      </c>
      <c r="AT75" s="34">
        <f t="shared" ref="AT75" si="65">AT73+AT59+AT44</f>
        <v>1331</v>
      </c>
      <c r="AU75" s="34">
        <f t="shared" ref="AU75:AU78" ca="1" si="66">P75-AT75</f>
        <v>-755</v>
      </c>
    </row>
    <row r="76" spans="1:47" x14ac:dyDescent="0.2">
      <c r="A76" s="6" t="s">
        <v>255</v>
      </c>
      <c r="B76" s="34">
        <v>3636</v>
      </c>
      <c r="C76" s="34">
        <f t="shared" ref="C76:M76" si="67">B78</f>
        <v>14484</v>
      </c>
      <c r="D76" s="34">
        <f t="shared" si="67"/>
        <v>10716</v>
      </c>
      <c r="E76" s="34">
        <f t="shared" si="67"/>
        <v>8139</v>
      </c>
      <c r="F76" s="34">
        <f t="shared" si="67"/>
        <v>14631</v>
      </c>
      <c r="G76" s="34">
        <f t="shared" si="67"/>
        <v>11532</v>
      </c>
      <c r="H76" s="34">
        <f t="shared" si="67"/>
        <v>10206</v>
      </c>
      <c r="I76" s="34">
        <f t="shared" si="67"/>
        <v>14125</v>
      </c>
      <c r="J76" s="34">
        <f t="shared" si="67"/>
        <v>23066</v>
      </c>
      <c r="K76" s="34">
        <f t="shared" si="67"/>
        <v>31128</v>
      </c>
      <c r="L76" s="34">
        <f t="shared" si="67"/>
        <v>25830</v>
      </c>
      <c r="M76" s="34">
        <f t="shared" si="67"/>
        <v>44587</v>
      </c>
      <c r="N76" s="34">
        <f>M78</f>
        <v>23811</v>
      </c>
      <c r="O76" s="34">
        <f>N78</f>
        <v>9724</v>
      </c>
      <c r="P76" s="34">
        <f>O78</f>
        <v>4320</v>
      </c>
      <c r="R76" s="34">
        <v>3636</v>
      </c>
      <c r="S76" s="34">
        <f>R78</f>
        <v>16146</v>
      </c>
      <c r="T76" s="34">
        <v>14484</v>
      </c>
      <c r="U76" s="34">
        <f>T78</f>
        <v>13276</v>
      </c>
      <c r="V76" s="34">
        <v>10716</v>
      </c>
      <c r="W76" s="34">
        <f>V78</f>
        <v>8559</v>
      </c>
      <c r="X76" s="34">
        <v>8139</v>
      </c>
      <c r="Y76" s="34">
        <f>X78</f>
        <v>9635</v>
      </c>
      <c r="Z76" s="34">
        <v>14631</v>
      </c>
      <c r="AA76" s="34">
        <f>Z78</f>
        <v>10042</v>
      </c>
      <c r="AB76" s="34">
        <v>11532</v>
      </c>
      <c r="AC76" s="34">
        <f>AB78</f>
        <v>15770</v>
      </c>
      <c r="AD76" s="34">
        <v>10206</v>
      </c>
      <c r="AE76" s="34">
        <f>AD78</f>
        <v>9392</v>
      </c>
      <c r="AF76" s="34">
        <v>14125</v>
      </c>
      <c r="AG76" s="34">
        <f>AF78</f>
        <v>18865</v>
      </c>
      <c r="AH76" s="34">
        <v>23066</v>
      </c>
      <c r="AI76" s="34">
        <f>AH78</f>
        <v>35797</v>
      </c>
      <c r="AJ76" s="34">
        <v>31128</v>
      </c>
      <c r="AK76" s="34">
        <f>AJ78</f>
        <v>24678</v>
      </c>
      <c r="AL76" s="34">
        <v>25830</v>
      </c>
      <c r="AM76" s="34">
        <f>AL78</f>
        <v>39980</v>
      </c>
      <c r="AN76" s="34">
        <v>44587</v>
      </c>
      <c r="AO76" s="34">
        <f>AN78</f>
        <v>39194</v>
      </c>
      <c r="AP76" s="34">
        <v>23811</v>
      </c>
      <c r="AQ76" s="34">
        <f>AP78</f>
        <v>25687</v>
      </c>
      <c r="AR76" s="34">
        <f>9724</f>
        <v>9724</v>
      </c>
      <c r="AS76" s="34">
        <f>O76-AR76</f>
        <v>0</v>
      </c>
      <c r="AT76" s="34">
        <f>4320</f>
        <v>4320</v>
      </c>
      <c r="AU76" s="34">
        <f t="shared" si="66"/>
        <v>0</v>
      </c>
    </row>
    <row r="77" spans="1:47" x14ac:dyDescent="0.2">
      <c r="A77" s="6" t="s">
        <v>256</v>
      </c>
      <c r="B77" s="34">
        <f t="shared" si="48"/>
        <v>1672</v>
      </c>
      <c r="C77" s="34">
        <f t="shared" si="49"/>
        <v>-473</v>
      </c>
      <c r="D77" s="34">
        <f t="shared" si="50"/>
        <v>389</v>
      </c>
      <c r="E77" s="34">
        <f t="shared" si="51"/>
        <v>1630</v>
      </c>
      <c r="F77" s="34">
        <f t="shared" si="52"/>
        <v>-257</v>
      </c>
      <c r="G77" s="34">
        <f t="shared" si="53"/>
        <v>-144</v>
      </c>
      <c r="H77" s="34">
        <f t="shared" si="54"/>
        <v>-78</v>
      </c>
      <c r="I77" s="34">
        <f t="shared" si="55"/>
        <v>418</v>
      </c>
      <c r="J77" s="34">
        <f t="shared" si="56"/>
        <v>-175</v>
      </c>
      <c r="K77" s="34">
        <f t="shared" si="57"/>
        <v>24</v>
      </c>
      <c r="L77" s="34">
        <f t="shared" ref="L77" si="68">SUM(AL77:AM77)</f>
        <v>-284</v>
      </c>
      <c r="M77" s="34">
        <f>SUM(AN77:AO77)</f>
        <v>-75</v>
      </c>
      <c r="N77" s="34">
        <v>46</v>
      </c>
      <c r="O77" s="34">
        <f>4</f>
        <v>4</v>
      </c>
      <c r="P77" s="34">
        <f>-7</f>
        <v>-7</v>
      </c>
      <c r="R77" s="34">
        <v>-204</v>
      </c>
      <c r="S77" s="34">
        <v>1876</v>
      </c>
      <c r="T77" s="34">
        <v>41</v>
      </c>
      <c r="U77" s="34">
        <v>-514</v>
      </c>
      <c r="V77" s="34">
        <v>399</v>
      </c>
      <c r="W77" s="34">
        <v>-10</v>
      </c>
      <c r="X77" s="34">
        <v>100</v>
      </c>
      <c r="Y77" s="34">
        <v>1530</v>
      </c>
      <c r="Z77" s="34">
        <v>-607</v>
      </c>
      <c r="AA77" s="34">
        <v>350</v>
      </c>
      <c r="AB77" s="34">
        <v>-110</v>
      </c>
      <c r="AC77" s="34">
        <v>-34</v>
      </c>
      <c r="AD77" s="34">
        <v>-18</v>
      </c>
      <c r="AE77" s="34">
        <v>-60</v>
      </c>
      <c r="AF77" s="34">
        <v>240</v>
      </c>
      <c r="AG77" s="34">
        <v>178</v>
      </c>
      <c r="AH77" s="34">
        <v>-66</v>
      </c>
      <c r="AI77" s="34">
        <v>-109</v>
      </c>
      <c r="AJ77" s="34">
        <v>28</v>
      </c>
      <c r="AK77" s="34">
        <v>-4</v>
      </c>
      <c r="AL77" s="34">
        <v>-300</v>
      </c>
      <c r="AM77" s="34">
        <v>16</v>
      </c>
      <c r="AN77" s="34">
        <v>-172</v>
      </c>
      <c r="AO77" s="34">
        <v>97</v>
      </c>
      <c r="AP77" s="34">
        <v>328</v>
      </c>
      <c r="AQ77" s="34">
        <f>N77-AP77</f>
        <v>-282</v>
      </c>
      <c r="AR77" s="34">
        <f>-4</f>
        <v>-4</v>
      </c>
      <c r="AS77" s="34">
        <f>O77-AR77</f>
        <v>8</v>
      </c>
      <c r="AT77" s="34">
        <f>-7</f>
        <v>-7</v>
      </c>
      <c r="AU77" s="34">
        <f t="shared" si="66"/>
        <v>0</v>
      </c>
    </row>
    <row r="78" spans="1:47" x14ac:dyDescent="0.2">
      <c r="A78" s="51" t="s">
        <v>257</v>
      </c>
      <c r="B78" s="79">
        <v>14484</v>
      </c>
      <c r="C78" s="79">
        <v>10716</v>
      </c>
      <c r="D78" s="79">
        <v>8139</v>
      </c>
      <c r="E78" s="79">
        <v>14631</v>
      </c>
      <c r="F78" s="79">
        <v>11532</v>
      </c>
      <c r="G78" s="79">
        <v>10206</v>
      </c>
      <c r="H78" s="79">
        <v>14125</v>
      </c>
      <c r="I78" s="79">
        <v>23066</v>
      </c>
      <c r="J78" s="79">
        <v>31128</v>
      </c>
      <c r="K78" s="79">
        <v>25830</v>
      </c>
      <c r="L78" s="79">
        <v>44587</v>
      </c>
      <c r="M78" s="79">
        <v>23811</v>
      </c>
      <c r="N78" s="79">
        <v>9724</v>
      </c>
      <c r="O78" s="79">
        <f>4320</f>
        <v>4320</v>
      </c>
      <c r="P78" s="79">
        <f>4889</f>
        <v>4889</v>
      </c>
      <c r="Q78" s="32"/>
      <c r="R78" s="79">
        <v>16146</v>
      </c>
      <c r="S78" s="79">
        <f>T76</f>
        <v>14484</v>
      </c>
      <c r="T78" s="79">
        <v>13276</v>
      </c>
      <c r="U78" s="79">
        <f>V76</f>
        <v>10716</v>
      </c>
      <c r="V78" s="79">
        <v>8559</v>
      </c>
      <c r="W78" s="79">
        <f>X76</f>
        <v>8139</v>
      </c>
      <c r="X78" s="79">
        <v>9635</v>
      </c>
      <c r="Y78" s="79">
        <f>Z76</f>
        <v>14631</v>
      </c>
      <c r="Z78" s="79">
        <v>10042</v>
      </c>
      <c r="AA78" s="79">
        <f>AB76</f>
        <v>11532</v>
      </c>
      <c r="AB78" s="79">
        <v>15770</v>
      </c>
      <c r="AC78" s="79">
        <f>AD76</f>
        <v>10206</v>
      </c>
      <c r="AD78" s="79">
        <v>9392</v>
      </c>
      <c r="AE78" s="79">
        <f>AF76</f>
        <v>14125</v>
      </c>
      <c r="AF78" s="79">
        <v>18865</v>
      </c>
      <c r="AG78" s="79">
        <f>AH76</f>
        <v>23066</v>
      </c>
      <c r="AH78" s="79">
        <v>35797</v>
      </c>
      <c r="AI78" s="79">
        <f>AJ76</f>
        <v>31128</v>
      </c>
      <c r="AJ78" s="79">
        <v>24678</v>
      </c>
      <c r="AK78" s="79">
        <f>AL76</f>
        <v>25830</v>
      </c>
      <c r="AL78" s="80">
        <v>39980</v>
      </c>
      <c r="AM78" s="80">
        <f>AN76</f>
        <v>44587</v>
      </c>
      <c r="AN78" s="80">
        <v>39194</v>
      </c>
      <c r="AO78" s="80">
        <f>M78</f>
        <v>23811</v>
      </c>
      <c r="AP78" s="80">
        <v>25687</v>
      </c>
      <c r="AQ78" s="80">
        <f>N78</f>
        <v>9724</v>
      </c>
      <c r="AR78" s="80">
        <f>SUM(AR75:AR77)</f>
        <v>6999</v>
      </c>
      <c r="AS78" s="80">
        <f t="shared" ref="AS78" si="69">O78-AR78</f>
        <v>-2679</v>
      </c>
      <c r="AT78" s="80">
        <f>SUM(AT75:AT77)</f>
        <v>5644</v>
      </c>
      <c r="AU78" s="80">
        <f t="shared" si="66"/>
        <v>-755</v>
      </c>
    </row>
  </sheetData>
  <phoneticPr fontId="33" type="noConversion"/>
  <hyperlinks>
    <hyperlink ref="A3" location="Contents!A1" display="Back to Contents" xr:uid="{A942458B-793B-4C45-9BA9-CF293C7257FD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Contents</vt:lpstr>
      <vt:lpstr>Overview</vt:lpstr>
      <vt:lpstr>Operating Results</vt:lpstr>
      <vt:lpstr>PL</vt:lpstr>
      <vt:lpstr>BS</vt:lpstr>
      <vt:lpstr>CF</vt:lpstr>
    </vt:vector>
  </TitlesOfParts>
  <Company>Etalon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Алексей Вячеславович</dc:creator>
  <cp:lastModifiedBy>Фроленко Елизавета Андреевна</cp:lastModifiedBy>
  <dcterms:created xsi:type="dcterms:W3CDTF">2021-08-12T14:59:22Z</dcterms:created>
  <dcterms:modified xsi:type="dcterms:W3CDTF">2026-05-08T07:19:57Z</dcterms:modified>
</cp:coreProperties>
</file>