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6\2026-01-26 12M25 Operating Results\Datapack\"/>
    </mc:Choice>
  </mc:AlternateContent>
  <xr:revisionPtr revIDLastSave="0" documentId="13_ncr:1_{EE156ABA-E077-4204-B1CF-8DDA7D64A440}" xr6:coauthVersionLast="36" xr6:coauthVersionMax="36" xr10:uidLastSave="{00000000-0000-0000-0000-000000000000}"/>
  <bookViews>
    <workbookView xWindow="0" yWindow="0" windowWidth="25200" windowHeight="10875" activeTab="2" xr2:uid="{8BED7D6A-33C6-46EF-A708-EB7D78F6E46A}"/>
  </bookViews>
  <sheets>
    <sheet name="Contents" sheetId="8" r:id="rId1"/>
    <sheet name="Overview" sheetId="1" r:id="rId2"/>
    <sheet name="Operating Results" sheetId="2" r:id="rId3"/>
    <sheet name="PL" sheetId="5" r:id="rId4"/>
    <sheet name="BS" sheetId="6" r:id="rId5"/>
    <sheet name="CF" sheetId="7" r:id="rId6"/>
    <sheet name="Assets valuation 2024" sheetId="1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2" l="1"/>
  <c r="BY50" i="2"/>
  <c r="Q50" i="2" s="1"/>
  <c r="BW50" i="2"/>
  <c r="BZ48" i="2"/>
  <c r="BY48" i="2"/>
  <c r="BX48" i="2"/>
  <c r="Q48" i="2" s="1"/>
  <c r="BW48" i="2"/>
  <c r="BZ41" i="2"/>
  <c r="BY41" i="2"/>
  <c r="BX41" i="2"/>
  <c r="BW41" i="2"/>
  <c r="Q41" i="2" s="1"/>
  <c r="BZ40" i="2"/>
  <c r="BY40" i="2"/>
  <c r="BX40" i="2"/>
  <c r="BW40" i="2"/>
  <c r="Q40" i="2" s="1"/>
  <c r="BZ39" i="2"/>
  <c r="BY39" i="2"/>
  <c r="BX39" i="2"/>
  <c r="BW39" i="2"/>
  <c r="Q39" i="2" s="1"/>
  <c r="BZ38" i="2"/>
  <c r="BY38" i="2"/>
  <c r="BX38" i="2"/>
  <c r="Q38" i="2" s="1"/>
  <c r="BW38" i="2"/>
  <c r="BZ37" i="2"/>
  <c r="BY37" i="2"/>
  <c r="BX37" i="2"/>
  <c r="BW37" i="2"/>
  <c r="BZ36" i="2"/>
  <c r="BY36" i="2"/>
  <c r="BX36" i="2"/>
  <c r="BZ35" i="2"/>
  <c r="BY35" i="2"/>
  <c r="BX35" i="2"/>
  <c r="BZ34" i="2"/>
  <c r="BY34" i="2"/>
  <c r="BX34" i="2"/>
  <c r="BW34" i="2"/>
  <c r="BZ18" i="2"/>
  <c r="BY18" i="2"/>
  <c r="BX18" i="2"/>
  <c r="BZ17" i="2"/>
  <c r="BY17" i="2"/>
  <c r="BZ14" i="2"/>
  <c r="BY14" i="2"/>
  <c r="BX14" i="2"/>
  <c r="BZ13" i="2"/>
  <c r="BY13" i="2"/>
  <c r="BX13" i="2"/>
  <c r="BW13" i="2"/>
  <c r="BZ12" i="2"/>
  <c r="BY12" i="2"/>
  <c r="BX12" i="2"/>
  <c r="BW12" i="2"/>
  <c r="BZ9" i="2"/>
  <c r="BY9" i="2"/>
  <c r="BX9" i="2"/>
  <c r="BW9" i="2"/>
  <c r="BZ8" i="2"/>
  <c r="BY8" i="2"/>
  <c r="BX8" i="2"/>
  <c r="BW8" i="2"/>
  <c r="Q51" i="2"/>
  <c r="Q49" i="2"/>
  <c r="Q47" i="2"/>
  <c r="Q46" i="2"/>
  <c r="Q45" i="2"/>
  <c r="Q44" i="2"/>
  <c r="Q34" i="2"/>
  <c r="Q33" i="2"/>
  <c r="Q32" i="2"/>
  <c r="Q31" i="2"/>
  <c r="Q30" i="2"/>
  <c r="Q29" i="2"/>
  <c r="Q37" i="2" s="1"/>
  <c r="Q28" i="2"/>
  <c r="Q36" i="2" s="1"/>
  <c r="Q27" i="2"/>
  <c r="Q35" i="2" s="1"/>
  <c r="Q26" i="2"/>
  <c r="Q18" i="2"/>
  <c r="Q17" i="2"/>
  <c r="Q14" i="2"/>
  <c r="Q13" i="2"/>
  <c r="Q12" i="2"/>
  <c r="Q9" i="2"/>
  <c r="Q8" i="2"/>
  <c r="Q7" i="2"/>
  <c r="AS70" i="7" l="1"/>
  <c r="AS57" i="7"/>
  <c r="AS56" i="7"/>
  <c r="AS55" i="7"/>
  <c r="AS54" i="7"/>
  <c r="AS53" i="7"/>
  <c r="AS52" i="7"/>
  <c r="AS51" i="7"/>
  <c r="AS49" i="7"/>
  <c r="AS48" i="7"/>
  <c r="AS47" i="7"/>
  <c r="AS58" i="7" s="1"/>
  <c r="AS41" i="7"/>
  <c r="AS44" i="7" s="1"/>
  <c r="AS40" i="7"/>
  <c r="AS39" i="7"/>
  <c r="AS38" i="7"/>
  <c r="AS36" i="7"/>
  <c r="AS35" i="7"/>
  <c r="AS34" i="7"/>
  <c r="AS33" i="7"/>
  <c r="AS74" i="7" l="1"/>
  <c r="AS73" i="7"/>
  <c r="AS72" i="7"/>
  <c r="AS75" i="7" s="1"/>
  <c r="AQ74" i="7"/>
  <c r="AQ73" i="7"/>
  <c r="AQ72" i="7"/>
  <c r="AQ75" i="7" s="1"/>
  <c r="AS69" i="7"/>
  <c r="AS68" i="7"/>
  <c r="AS67" i="7"/>
  <c r="AS66" i="7"/>
  <c r="AS65" i="7"/>
  <c r="AS64" i="7"/>
  <c r="AS63" i="7"/>
  <c r="AS62" i="7"/>
  <c r="AS61" i="7"/>
  <c r="AQ69" i="7"/>
  <c r="AQ68" i="7"/>
  <c r="AQ67" i="7"/>
  <c r="AQ66" i="7"/>
  <c r="AQ65" i="7"/>
  <c r="AQ70" i="7" s="1"/>
  <c r="AQ64" i="7"/>
  <c r="AQ63" i="7"/>
  <c r="AQ62" i="7"/>
  <c r="AQ6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4" i="7"/>
  <c r="AQ13" i="7"/>
  <c r="AQ12" i="7"/>
  <c r="AQ11" i="7"/>
  <c r="AQ10" i="7"/>
  <c r="AQ43" i="7"/>
  <c r="AQ42" i="7"/>
  <c r="AQ40" i="7"/>
  <c r="AQ39" i="7"/>
  <c r="AQ38" i="7"/>
  <c r="AQ37" i="7"/>
  <c r="AQ36" i="7"/>
  <c r="AQ35" i="7"/>
  <c r="AQ34" i="7"/>
  <c r="AQ33" i="7"/>
  <c r="AQ32" i="7"/>
  <c r="AS43" i="7"/>
  <c r="AS4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7" i="7"/>
  <c r="AD66" i="6"/>
  <c r="AC66" i="6"/>
  <c r="AD65" i="6"/>
  <c r="AD67" i="6" s="1"/>
  <c r="AC65" i="6"/>
  <c r="AC67" i="6" s="1"/>
  <c r="AD64" i="6"/>
  <c r="AC64" i="6"/>
  <c r="AD63" i="6"/>
  <c r="AC63" i="6"/>
  <c r="AD62" i="6"/>
  <c r="AC62" i="6"/>
  <c r="AD61" i="6"/>
  <c r="AC61" i="6"/>
  <c r="AD57" i="6"/>
  <c r="AC57" i="6"/>
  <c r="AD56" i="6"/>
  <c r="AC56" i="6"/>
  <c r="AD55" i="6"/>
  <c r="AC55" i="6"/>
  <c r="AD53" i="6"/>
  <c r="AC53" i="6"/>
  <c r="AD52" i="6"/>
  <c r="AD58" i="6" s="1"/>
  <c r="AC52" i="6"/>
  <c r="AC58" i="6" s="1"/>
  <c r="AD51" i="6"/>
  <c r="AC51" i="6"/>
  <c r="AD47" i="6"/>
  <c r="AC47" i="6"/>
  <c r="AD46" i="6"/>
  <c r="AD48" i="6" s="1"/>
  <c r="AD68" i="6" s="1"/>
  <c r="AC46" i="6"/>
  <c r="AC48" i="6" s="1"/>
  <c r="AC68" i="6" s="1"/>
  <c r="AD45" i="6"/>
  <c r="AC45" i="6"/>
  <c r="AD44" i="6"/>
  <c r="AC44" i="6"/>
  <c r="AD43" i="6"/>
  <c r="AD42" i="6"/>
  <c r="AD41" i="6"/>
  <c r="AD40" i="6"/>
  <c r="AC40" i="6"/>
  <c r="AD36" i="6"/>
  <c r="AC36" i="6"/>
  <c r="AC34" i="6"/>
  <c r="AD34" i="6"/>
  <c r="AD32" i="6"/>
  <c r="AC32" i="6"/>
  <c r="AD31" i="6"/>
  <c r="AC31" i="6"/>
  <c r="AD30" i="6"/>
  <c r="AC30" i="6"/>
  <c r="AD29" i="6"/>
  <c r="AC29" i="6"/>
  <c r="AD28" i="6"/>
  <c r="AD23" i="6" s="1"/>
  <c r="AC28" i="6"/>
  <c r="AD27" i="6"/>
  <c r="AC27" i="6"/>
  <c r="AD26" i="6"/>
  <c r="AC26" i="6"/>
  <c r="AD25" i="6"/>
  <c r="AC25" i="6"/>
  <c r="AD24" i="6"/>
  <c r="AC24" i="6"/>
  <c r="AC23" i="6"/>
  <c r="AD22" i="6"/>
  <c r="AD18" i="6" s="1"/>
  <c r="AC22" i="6"/>
  <c r="AC18" i="6" s="1"/>
  <c r="AD21" i="6"/>
  <c r="AC21" i="6"/>
  <c r="AD20" i="6"/>
  <c r="AC20" i="6"/>
  <c r="AD19" i="6"/>
  <c r="AC19" i="6"/>
  <c r="AD15" i="6"/>
  <c r="AD14" i="6"/>
  <c r="AC14" i="6"/>
  <c r="AD13" i="6"/>
  <c r="AC13" i="6"/>
  <c r="AD12" i="6"/>
  <c r="AC12" i="6"/>
  <c r="AD11" i="6"/>
  <c r="AC11" i="6"/>
  <c r="AD10" i="6"/>
  <c r="AC10" i="6"/>
  <c r="AD9" i="6"/>
  <c r="AC9" i="6"/>
  <c r="AD8" i="6"/>
  <c r="AC8" i="6"/>
  <c r="AC15" i="6" s="1"/>
  <c r="AS42" i="5"/>
  <c r="AS44" i="5" s="1"/>
  <c r="AS39" i="5"/>
  <c r="AS38" i="5"/>
  <c r="AS37" i="5" s="1"/>
  <c r="AS34" i="5"/>
  <c r="AS32" i="5"/>
  <c r="AS30" i="5"/>
  <c r="AS28" i="5"/>
  <c r="AS27" i="5"/>
  <c r="AS29" i="5" s="1"/>
  <c r="AS31" i="5" s="1"/>
  <c r="AS33" i="5" s="1"/>
  <c r="AS26" i="5"/>
  <c r="AS24" i="5"/>
  <c r="AS17" i="5"/>
  <c r="AS23" i="5"/>
  <c r="AS22" i="5"/>
  <c r="AS21" i="5"/>
  <c r="AS20" i="5"/>
  <c r="AS19" i="5"/>
  <c r="AS13" i="5"/>
  <c r="AS9" i="5"/>
  <c r="AS57" i="5"/>
  <c r="AS55" i="5"/>
  <c r="AS53" i="5"/>
  <c r="AS52" i="5"/>
  <c r="AS54" i="5" s="1"/>
  <c r="AS56" i="5" s="1"/>
  <c r="AS58" i="5" s="1"/>
  <c r="AS51" i="5"/>
  <c r="BV51" i="2" l="1"/>
  <c r="BU51" i="2"/>
  <c r="BV50" i="2"/>
  <c r="BU50" i="2"/>
  <c r="BV49" i="2"/>
  <c r="BU49" i="2"/>
  <c r="BV48" i="2"/>
  <c r="BU48" i="2"/>
  <c r="BV41" i="2"/>
  <c r="BU41" i="2"/>
  <c r="BV40" i="2"/>
  <c r="BU40" i="2"/>
  <c r="BV39" i="2"/>
  <c r="BU39" i="2"/>
  <c r="BV38" i="2"/>
  <c r="BU38" i="2"/>
  <c r="BV37" i="2"/>
  <c r="BU37" i="2"/>
  <c r="BV36" i="2"/>
  <c r="BU36" i="2"/>
  <c r="BV35" i="2"/>
  <c r="BU35" i="2"/>
  <c r="BT35" i="2"/>
  <c r="BV34" i="2"/>
  <c r="BU34" i="2"/>
  <c r="BV29" i="2"/>
  <c r="BU29" i="2"/>
  <c r="BV28" i="2"/>
  <c r="BU28" i="2"/>
  <c r="BV26" i="2"/>
  <c r="BU26" i="2"/>
  <c r="BV9" i="2"/>
  <c r="BU9" i="2"/>
  <c r="BV18" i="2" l="1"/>
  <c r="BU18" i="2"/>
  <c r="BT18" i="2"/>
  <c r="BV14" i="2"/>
  <c r="BU14" i="2"/>
  <c r="BV13" i="2"/>
  <c r="BU13" i="2"/>
  <c r="BV12" i="2"/>
  <c r="BU12" i="2"/>
  <c r="BV8" i="2"/>
  <c r="BU8" i="2"/>
  <c r="BT8" i="2"/>
  <c r="BS8" i="2"/>
  <c r="BV7" i="2"/>
  <c r="BU7" i="2"/>
  <c r="P48" i="1"/>
  <c r="P47" i="1"/>
  <c r="P46" i="1"/>
  <c r="D21" i="1" l="1"/>
  <c r="C21" i="1"/>
  <c r="AR7" i="7" l="1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R75" i="7"/>
  <c r="AR74" i="7"/>
  <c r="AR73" i="7"/>
  <c r="AR68" i="7"/>
  <c r="AR64" i="7"/>
  <c r="AR63" i="7"/>
  <c r="AR62" i="7"/>
  <c r="AR61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3" i="7"/>
  <c r="AR42" i="7"/>
  <c r="AR40" i="7"/>
  <c r="AR39" i="7"/>
  <c r="AR38" i="7"/>
  <c r="AR37" i="7"/>
  <c r="AR36" i="7"/>
  <c r="AR35" i="7"/>
  <c r="AR34" i="7"/>
  <c r="AR33" i="7"/>
  <c r="AR32" i="7"/>
  <c r="AR30" i="7"/>
  <c r="AR29" i="7"/>
  <c r="AR28" i="7"/>
  <c r="AR27" i="7"/>
  <c r="AR26" i="7"/>
  <c r="AR25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O75" i="7"/>
  <c r="O74" i="7"/>
  <c r="O73" i="7"/>
  <c r="O68" i="7"/>
  <c r="O64" i="7"/>
  <c r="O63" i="7"/>
  <c r="O62" i="7"/>
  <c r="O61" i="7"/>
  <c r="O57" i="7"/>
  <c r="O56" i="7"/>
  <c r="O55" i="7"/>
  <c r="O54" i="7"/>
  <c r="O53" i="7"/>
  <c r="O52" i="7"/>
  <c r="O51" i="7"/>
  <c r="O50" i="7"/>
  <c r="O49" i="7"/>
  <c r="O48" i="7"/>
  <c r="O47" i="7"/>
  <c r="O58" i="7" s="1"/>
  <c r="O43" i="7"/>
  <c r="O42" i="7"/>
  <c r="O40" i="7"/>
  <c r="O39" i="7"/>
  <c r="O38" i="7"/>
  <c r="O37" i="7"/>
  <c r="O36" i="7"/>
  <c r="O35" i="7"/>
  <c r="O34" i="7"/>
  <c r="O33" i="7"/>
  <c r="O32" i="7"/>
  <c r="O31" i="7"/>
  <c r="O41" i="7" s="1"/>
  <c r="O44" i="7" s="1"/>
  <c r="O30" i="7"/>
  <c r="O29" i="7"/>
  <c r="O28" i="7"/>
  <c r="O27" i="7"/>
  <c r="O26" i="7"/>
  <c r="O25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7" i="7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A29" i="6"/>
  <c r="AR58" i="5"/>
  <c r="AR57" i="5"/>
  <c r="AR56" i="5"/>
  <c r="AR55" i="5"/>
  <c r="AR54" i="5"/>
  <c r="AR53" i="5"/>
  <c r="AR52" i="5"/>
  <c r="AR51" i="5"/>
  <c r="AR44" i="5"/>
  <c r="AR43" i="5"/>
  <c r="AR42" i="5"/>
  <c r="AR39" i="5"/>
  <c r="AR38" i="5"/>
  <c r="AR37" i="5"/>
  <c r="AR34" i="5"/>
  <c r="AR33" i="5"/>
  <c r="AR32" i="5"/>
  <c r="AR31" i="5"/>
  <c r="AR30" i="5"/>
  <c r="AR29" i="5"/>
  <c r="AR28" i="5"/>
  <c r="AR27" i="5"/>
  <c r="AR26" i="5"/>
  <c r="AR24" i="5"/>
  <c r="AR23" i="5"/>
  <c r="AR22" i="5"/>
  <c r="AR21" i="5"/>
  <c r="AR20" i="5"/>
  <c r="AR19" i="5"/>
  <c r="AR17" i="5"/>
  <c r="AR13" i="5"/>
  <c r="AR12" i="5"/>
  <c r="AR11" i="5"/>
  <c r="AR10" i="5"/>
  <c r="AR9" i="5"/>
  <c r="O57" i="5"/>
  <c r="O55" i="5"/>
  <c r="N29" i="5"/>
  <c r="N23" i="5"/>
  <c r="N22" i="5"/>
  <c r="N24" i="5" s="1"/>
  <c r="N16" i="5"/>
  <c r="N15" i="5"/>
  <c r="N14" i="5"/>
  <c r="N13" i="5"/>
  <c r="N12" i="5"/>
  <c r="N11" i="5"/>
  <c r="N10" i="5"/>
  <c r="N9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8" i="5"/>
  <c r="O27" i="5"/>
  <c r="O29" i="5" s="1"/>
  <c r="O26" i="5"/>
  <c r="O24" i="5"/>
  <c r="O23" i="5"/>
  <c r="O22" i="5"/>
  <c r="O21" i="5"/>
  <c r="O20" i="5"/>
  <c r="O53" i="5" s="1"/>
  <c r="O19" i="5"/>
  <c r="O52" i="5" s="1"/>
  <c r="O17" i="5"/>
  <c r="O51" i="5" s="1"/>
  <c r="O54" i="5" s="1"/>
  <c r="O56" i="5" s="1"/>
  <c r="O58" i="5" s="1"/>
  <c r="O13" i="5"/>
  <c r="O9" i="5"/>
  <c r="P29" i="1"/>
  <c r="P28" i="1"/>
  <c r="P27" i="1"/>
  <c r="P26" i="1"/>
  <c r="P25" i="1"/>
  <c r="P24" i="1"/>
  <c r="P21" i="1"/>
  <c r="P20" i="1"/>
  <c r="P19" i="1"/>
  <c r="P18" i="1"/>
  <c r="P17" i="1"/>
  <c r="P16" i="1"/>
  <c r="P15" i="1"/>
  <c r="P12" i="1"/>
  <c r="P11" i="1"/>
  <c r="P10" i="1"/>
  <c r="P9" i="1"/>
  <c r="P8" i="1"/>
  <c r="P7" i="1"/>
  <c r="P43" i="1" l="1"/>
  <c r="P51" i="2" l="1"/>
  <c r="P40" i="2"/>
  <c r="P39" i="2"/>
  <c r="P38" i="2"/>
  <c r="P29" i="2"/>
  <c r="P13" i="2"/>
  <c r="P12" i="2"/>
  <c r="P7" i="2"/>
  <c r="P50" i="2"/>
  <c r="P49" i="2"/>
  <c r="P48" i="2"/>
  <c r="P47" i="2"/>
  <c r="P46" i="2"/>
  <c r="P45" i="2"/>
  <c r="P44" i="2"/>
  <c r="P41" i="2"/>
  <c r="P33" i="2"/>
  <c r="P32" i="2"/>
  <c r="P31" i="2"/>
  <c r="P30" i="2"/>
  <c r="P28" i="2"/>
  <c r="P36" i="2" s="1"/>
  <c r="P27" i="2"/>
  <c r="P26" i="2"/>
  <c r="P24" i="2"/>
  <c r="P18" i="2"/>
  <c r="P17" i="2"/>
  <c r="P34" i="2" l="1"/>
  <c r="P35" i="2"/>
  <c r="P14" i="2"/>
  <c r="P42" i="1" l="1"/>
  <c r="P39" i="1"/>
  <c r="P38" i="1"/>
  <c r="P37" i="1"/>
  <c r="P34" i="1"/>
  <c r="P33" i="1"/>
  <c r="P32" i="1"/>
  <c r="AQ58" i="7" l="1"/>
  <c r="AQ57" i="7"/>
  <c r="AQ56" i="7"/>
  <c r="AQ55" i="7"/>
  <c r="AQ54" i="7"/>
  <c r="AQ53" i="7"/>
  <c r="AQ52" i="7"/>
  <c r="AQ51" i="7"/>
  <c r="AQ50" i="7"/>
  <c r="AQ49" i="7"/>
  <c r="AQ48" i="7"/>
  <c r="AQ47" i="7"/>
  <c r="AQ31" i="7"/>
  <c r="AQ41" i="7" s="1"/>
  <c r="AQ44" i="7" s="1"/>
  <c r="AQ7" i="7"/>
  <c r="AO70" i="7"/>
  <c r="AO52" i="7"/>
  <c r="AO51" i="7"/>
  <c r="AO58" i="7" s="1"/>
  <c r="AO32" i="7"/>
  <c r="AO13" i="7"/>
  <c r="AO10" i="7"/>
  <c r="AO31" i="7" s="1"/>
  <c r="AO41" i="7" s="1"/>
  <c r="AO44" i="7" s="1"/>
  <c r="AB68" i="6"/>
  <c r="AB67" i="6"/>
  <c r="AB66" i="6"/>
  <c r="AB65" i="6"/>
  <c r="AB64" i="6"/>
  <c r="AB63" i="6"/>
  <c r="AB62" i="6"/>
  <c r="AB58" i="6"/>
  <c r="AB57" i="6"/>
  <c r="AB55" i="6"/>
  <c r="AB53" i="6"/>
  <c r="AB52" i="6"/>
  <c r="AB51" i="6"/>
  <c r="AB48" i="6"/>
  <c r="AB47" i="6"/>
  <c r="AB46" i="6"/>
  <c r="AB45" i="6"/>
  <c r="AB44" i="6"/>
  <c r="AB42" i="6"/>
  <c r="AB41" i="6"/>
  <c r="AB40" i="6"/>
  <c r="AB36" i="6"/>
  <c r="AB34" i="6"/>
  <c r="AB32" i="6"/>
  <c r="AB31" i="6"/>
  <c r="AB30" i="6"/>
  <c r="AB28" i="6"/>
  <c r="AB27" i="6"/>
  <c r="AB26" i="6"/>
  <c r="AB25" i="6"/>
  <c r="AB24" i="6"/>
  <c r="AB23" i="6" s="1"/>
  <c r="AB22" i="6"/>
  <c r="AB21" i="6"/>
  <c r="AB20" i="6"/>
  <c r="AB19" i="6"/>
  <c r="AB18" i="6"/>
  <c r="AB14" i="6"/>
  <c r="AB13" i="6"/>
  <c r="AB12" i="6"/>
  <c r="AB11" i="6"/>
  <c r="AB10" i="6"/>
  <c r="AB9" i="6"/>
  <c r="AB8" i="6"/>
  <c r="AB15" i="6" s="1"/>
  <c r="AQ9" i="5"/>
  <c r="AQ17" i="5" s="1"/>
  <c r="AQ57" i="5"/>
  <c r="AQ55" i="5"/>
  <c r="AQ50" i="5"/>
  <c r="AQ38" i="5"/>
  <c r="AQ32" i="5"/>
  <c r="AQ30" i="5"/>
  <c r="AQ28" i="5"/>
  <c r="AQ29" i="5" s="1"/>
  <c r="AQ27" i="5"/>
  <c r="AQ26" i="5"/>
  <c r="AQ23" i="5"/>
  <c r="AQ22" i="5"/>
  <c r="AQ21" i="5"/>
  <c r="AQ20" i="5"/>
  <c r="AQ53" i="5" s="1"/>
  <c r="AQ19" i="5"/>
  <c r="AQ52" i="5" s="1"/>
  <c r="AQ13" i="5"/>
  <c r="AO55" i="5"/>
  <c r="AO53" i="5"/>
  <c r="AO52" i="5"/>
  <c r="AO50" i="5"/>
  <c r="AO29" i="5"/>
  <c r="AO23" i="5"/>
  <c r="AO9" i="5"/>
  <c r="AO17" i="5" s="1"/>
  <c r="AR31" i="7" l="1"/>
  <c r="AO72" i="7"/>
  <c r="AQ51" i="5"/>
  <c r="AQ54" i="5" s="1"/>
  <c r="AQ56" i="5" s="1"/>
  <c r="AQ58" i="5" s="1"/>
  <c r="AQ24" i="5"/>
  <c r="AQ31" i="5"/>
  <c r="AQ33" i="5" s="1"/>
  <c r="AQ34" i="5" s="1"/>
  <c r="AQ37" i="5" s="1"/>
  <c r="AO51" i="5"/>
  <c r="AO54" i="5" s="1"/>
  <c r="AO56" i="5" s="1"/>
  <c r="AO58" i="5" s="1"/>
  <c r="AO24" i="5"/>
  <c r="AO31" i="5"/>
  <c r="AO33" i="5" s="1"/>
  <c r="AO34" i="5" s="1"/>
  <c r="AO37" i="5" s="1"/>
  <c r="AP9" i="5"/>
  <c r="O37" i="2"/>
  <c r="O51" i="2"/>
  <c r="O50" i="2"/>
  <c r="O49" i="2"/>
  <c r="O47" i="2"/>
  <c r="O46" i="2"/>
  <c r="O36" i="2" s="1"/>
  <c r="O45" i="2"/>
  <c r="O35" i="2" s="1"/>
  <c r="O41" i="2"/>
  <c r="O40" i="2"/>
  <c r="O39" i="2"/>
  <c r="O33" i="2"/>
  <c r="O32" i="2"/>
  <c r="O31" i="2"/>
  <c r="O29" i="2"/>
  <c r="O28" i="2"/>
  <c r="O27" i="2"/>
  <c r="AR41" i="7" l="1"/>
  <c r="AQ42" i="5"/>
  <c r="AQ44" i="5" s="1"/>
  <c r="AQ39" i="5"/>
  <c r="AO42" i="5"/>
  <c r="AO44" i="5" s="1"/>
  <c r="AO39" i="5"/>
  <c r="O18" i="2"/>
  <c r="O17" i="2"/>
  <c r="O13" i="2"/>
  <c r="O12" i="2"/>
  <c r="O14" i="2" s="1"/>
  <c r="O8" i="2"/>
  <c r="O7" i="2"/>
  <c r="O24" i="2"/>
  <c r="R75" i="7"/>
  <c r="T75" i="7"/>
  <c r="V75" i="7"/>
  <c r="V73" i="7"/>
  <c r="T73" i="7"/>
  <c r="R73" i="7"/>
  <c r="AN73" i="7"/>
  <c r="AL73" i="7"/>
  <c r="AJ73" i="7"/>
  <c r="AH73" i="7"/>
  <c r="AF73" i="7"/>
  <c r="AD73" i="7"/>
  <c r="AB73" i="7"/>
  <c r="Z73" i="7"/>
  <c r="X73" i="7"/>
  <c r="X75" i="7"/>
  <c r="Z75" i="7"/>
  <c r="AB75" i="7"/>
  <c r="AD75" i="7"/>
  <c r="AF75" i="7"/>
  <c r="AH75" i="7"/>
  <c r="AL75" i="7"/>
  <c r="AJ75" i="7"/>
  <c r="AR44" i="7" l="1"/>
  <c r="C73" i="7"/>
  <c r="D73" i="7"/>
  <c r="E73" i="7"/>
  <c r="F73" i="7"/>
  <c r="G73" i="7"/>
  <c r="H73" i="7"/>
  <c r="I73" i="7"/>
  <c r="J73" i="7"/>
  <c r="K73" i="7"/>
  <c r="L73" i="7"/>
  <c r="M73" i="7"/>
  <c r="N73" i="7"/>
  <c r="L72" i="7"/>
  <c r="AN75" i="7"/>
  <c r="AP74" i="7"/>
  <c r="AP73" i="7"/>
  <c r="AP75" i="7"/>
  <c r="AP10" i="7"/>
  <c r="AP11" i="7"/>
  <c r="AP12" i="7"/>
  <c r="AP13" i="7"/>
  <c r="AP16" i="7"/>
  <c r="AP17" i="7"/>
  <c r="AP18" i="7"/>
  <c r="AP20" i="7"/>
  <c r="AP22" i="7"/>
  <c r="AP25" i="7"/>
  <c r="AP27" i="7"/>
  <c r="AP28" i="7"/>
  <c r="AP29" i="7"/>
  <c r="AP30" i="7"/>
  <c r="AP31" i="7"/>
  <c r="AP32" i="7"/>
  <c r="AP33" i="7"/>
  <c r="AP34" i="7"/>
  <c r="AP37" i="7"/>
  <c r="AP38" i="7"/>
  <c r="AP39" i="7"/>
  <c r="AP42" i="7"/>
  <c r="AP43" i="7"/>
  <c r="AP47" i="7"/>
  <c r="AP48" i="7"/>
  <c r="AP49" i="7"/>
  <c r="AP50" i="7"/>
  <c r="AP51" i="7"/>
  <c r="AP52" i="7"/>
  <c r="AP53" i="7"/>
  <c r="AP54" i="7"/>
  <c r="AP55" i="7"/>
  <c r="AP56" i="7"/>
  <c r="AP63" i="7"/>
  <c r="AP64" i="7"/>
  <c r="AP68" i="7"/>
  <c r="AP7" i="7"/>
  <c r="AN70" i="7"/>
  <c r="AM70" i="7"/>
  <c r="N69" i="7"/>
  <c r="AP69" i="7" s="1"/>
  <c r="O69" i="7" s="1"/>
  <c r="AR69" i="7" s="1"/>
  <c r="N67" i="7"/>
  <c r="AP67" i="7" s="1"/>
  <c r="O67" i="7" s="1"/>
  <c r="AR67" i="7" s="1"/>
  <c r="N66" i="7"/>
  <c r="AP66" i="7" s="1"/>
  <c r="O66" i="7" s="1"/>
  <c r="AR66" i="7" s="1"/>
  <c r="N65" i="7"/>
  <c r="AP65" i="7" s="1"/>
  <c r="O65" i="7" s="1"/>
  <c r="AR65" i="7" s="1"/>
  <c r="N62" i="7"/>
  <c r="AP62" i="7" s="1"/>
  <c r="N61" i="7"/>
  <c r="N57" i="7"/>
  <c r="AP57" i="7" s="1"/>
  <c r="N40" i="7"/>
  <c r="N41" i="7" s="1"/>
  <c r="N26" i="7"/>
  <c r="AP26" i="7" s="1"/>
  <c r="N21" i="7"/>
  <c r="AP21" i="7" s="1"/>
  <c r="N19" i="7"/>
  <c r="AP19" i="7" s="1"/>
  <c r="N14" i="7"/>
  <c r="AP14" i="7" s="1"/>
  <c r="Z63" i="6"/>
  <c r="AA63" i="6"/>
  <c r="Y62" i="6"/>
  <c r="AA62" i="6"/>
  <c r="AA64" i="6"/>
  <c r="Z62" i="6"/>
  <c r="N70" i="7" l="1"/>
  <c r="AP70" i="7" s="1"/>
  <c r="O70" i="7"/>
  <c r="N44" i="7"/>
  <c r="AP44" i="7" s="1"/>
  <c r="AP41" i="7"/>
  <c r="AP40" i="7"/>
  <c r="AP61" i="7"/>
  <c r="N58" i="7"/>
  <c r="AP58" i="7" s="1"/>
  <c r="AA28" i="6"/>
  <c r="AA27" i="6"/>
  <c r="AA18" i="6"/>
  <c r="AA22" i="6"/>
  <c r="Y27" i="6"/>
  <c r="Y28" i="6"/>
  <c r="Y22" i="6"/>
  <c r="AA40" i="6"/>
  <c r="AA23" i="6"/>
  <c r="AA15" i="6"/>
  <c r="AP55" i="5"/>
  <c r="AP57" i="5"/>
  <c r="AP13" i="5"/>
  <c r="AP17" i="5"/>
  <c r="AP18" i="5"/>
  <c r="AP19" i="5"/>
  <c r="AP20" i="5"/>
  <c r="AP21" i="5"/>
  <c r="AP23" i="5"/>
  <c r="AP25" i="5"/>
  <c r="AP26" i="5"/>
  <c r="AP27" i="5"/>
  <c r="AP28" i="5"/>
  <c r="AP29" i="5"/>
  <c r="AP30" i="5"/>
  <c r="AP31" i="5"/>
  <c r="AP32" i="5"/>
  <c r="AP33" i="5"/>
  <c r="AP34" i="5"/>
  <c r="AP37" i="5"/>
  <c r="AP38" i="5"/>
  <c r="AP39" i="5"/>
  <c r="AP42" i="5"/>
  <c r="AP43" i="5"/>
  <c r="AP44" i="5"/>
  <c r="AP50" i="5"/>
  <c r="N53" i="5"/>
  <c r="N52" i="5"/>
  <c r="N51" i="5"/>
  <c r="AP24" i="5"/>
  <c r="AP16" i="5"/>
  <c r="AP15" i="5"/>
  <c r="AP14" i="5"/>
  <c r="AP12" i="5"/>
  <c r="AP11" i="5"/>
  <c r="AP10" i="5"/>
  <c r="O27" i="1"/>
  <c r="N27" i="1"/>
  <c r="O25" i="1"/>
  <c r="N25" i="1"/>
  <c r="O16" i="1"/>
  <c r="O72" i="7" l="1"/>
  <c r="AR72" i="7" s="1"/>
  <c r="AR70" i="7"/>
  <c r="AP72" i="7"/>
  <c r="AP52" i="5"/>
  <c r="AP53" i="5"/>
  <c r="N54" i="5"/>
  <c r="AP51" i="5"/>
  <c r="N72" i="7"/>
  <c r="AP22" i="5"/>
  <c r="BR48" i="2"/>
  <c r="BR44" i="2"/>
  <c r="BR38" i="2"/>
  <c r="BR34" i="2"/>
  <c r="BR30" i="2"/>
  <c r="BR26" i="2"/>
  <c r="N56" i="5" l="1"/>
  <c r="AP54" i="5"/>
  <c r="N51" i="2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P48" i="2"/>
  <c r="BQ48" i="2"/>
  <c r="BO48" i="2"/>
  <c r="BP44" i="2"/>
  <c r="BQ44" i="2"/>
  <c r="BO44" i="2"/>
  <c r="O44" i="2" s="1"/>
  <c r="BP38" i="2"/>
  <c r="BQ38" i="2"/>
  <c r="BO38" i="2"/>
  <c r="O38" i="2" s="1"/>
  <c r="BP34" i="2"/>
  <c r="BQ34" i="2"/>
  <c r="BO34" i="2"/>
  <c r="BP30" i="2"/>
  <c r="BQ30" i="2"/>
  <c r="BO30" i="2"/>
  <c r="BP26" i="2"/>
  <c r="BQ26" i="2"/>
  <c r="BO26" i="2"/>
  <c r="O26" i="2" s="1"/>
  <c r="N8" i="2"/>
  <c r="N12" i="2"/>
  <c r="N13" i="2"/>
  <c r="N14" i="2" s="1"/>
  <c r="N17" i="2"/>
  <c r="N18" i="2"/>
  <c r="N7" i="2"/>
  <c r="O34" i="2" l="1"/>
  <c r="O48" i="2"/>
  <c r="O30" i="2"/>
  <c r="N58" i="5"/>
  <c r="AP56" i="5"/>
  <c r="BP24" i="2"/>
  <c r="BQ24" i="2"/>
  <c r="BO24" i="2"/>
  <c r="N24" i="2"/>
  <c r="AP58" i="5" l="1"/>
  <c r="Z22" i="6"/>
  <c r="X67" i="6" l="1"/>
  <c r="B22" i="7"/>
  <c r="C22" i="7"/>
  <c r="D22" i="7"/>
  <c r="E22" i="7"/>
  <c r="F22" i="7"/>
  <c r="G22" i="7"/>
  <c r="H22" i="7"/>
  <c r="I22" i="7"/>
  <c r="J22" i="7"/>
  <c r="K22" i="7"/>
  <c r="L22" i="7"/>
  <c r="M22" i="7"/>
  <c r="Y40" i="6"/>
  <c r="Z18" i="6"/>
  <c r="Z23" i="6"/>
  <c r="Z40" i="6" l="1"/>
  <c r="Z15" i="6"/>
  <c r="M10" i="7" l="1"/>
  <c r="M11" i="7"/>
  <c r="M12" i="7"/>
  <c r="M13" i="7"/>
  <c r="M14" i="7"/>
  <c r="M16" i="7"/>
  <c r="M17" i="7"/>
  <c r="M18" i="7"/>
  <c r="M19" i="7"/>
  <c r="M20" i="7"/>
  <c r="M21" i="7"/>
  <c r="M25" i="7"/>
  <c r="M26" i="7"/>
  <c r="M27" i="7"/>
  <c r="M28" i="7"/>
  <c r="M29" i="7"/>
  <c r="M30" i="7"/>
  <c r="M32" i="7"/>
  <c r="M33" i="7"/>
  <c r="M37" i="7"/>
  <c r="M39" i="7"/>
  <c r="M34" i="7"/>
  <c r="M38" i="7"/>
  <c r="M40" i="7"/>
  <c r="M42" i="7"/>
  <c r="M43" i="7"/>
  <c r="M47" i="7"/>
  <c r="M48" i="7"/>
  <c r="M49" i="7"/>
  <c r="M50" i="7"/>
  <c r="M51" i="7"/>
  <c r="M52" i="7"/>
  <c r="M53" i="7"/>
  <c r="M54" i="7"/>
  <c r="M55" i="7"/>
  <c r="M56" i="7"/>
  <c r="M57" i="7"/>
  <c r="M61" i="7"/>
  <c r="M62" i="7"/>
  <c r="M63" i="7"/>
  <c r="M64" i="7"/>
  <c r="M65" i="7"/>
  <c r="M66" i="7"/>
  <c r="M67" i="7"/>
  <c r="M68" i="7"/>
  <c r="M69" i="7"/>
  <c r="M74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5" i="5"/>
  <c r="M36" i="5"/>
  <c r="M37" i="5"/>
  <c r="M38" i="5"/>
  <c r="M40" i="5"/>
  <c r="M41" i="5"/>
  <c r="M42" i="5"/>
  <c r="M43" i="5"/>
  <c r="M9" i="5"/>
  <c r="X18" i="6"/>
  <c r="AM58" i="7" l="1"/>
  <c r="M58" i="7" s="1"/>
  <c r="AM31" i="7"/>
  <c r="X68" i="6"/>
  <c r="X53" i="6"/>
  <c r="X40" i="6"/>
  <c r="X23" i="6"/>
  <c r="X15" i="6"/>
  <c r="AM53" i="5"/>
  <c r="M53" i="5" s="1"/>
  <c r="AM52" i="5"/>
  <c r="M52" i="5" s="1"/>
  <c r="AM51" i="5"/>
  <c r="AM44" i="5"/>
  <c r="M44" i="5" s="1"/>
  <c r="AM39" i="5"/>
  <c r="M39" i="5" s="1"/>
  <c r="AM33" i="5"/>
  <c r="AM29" i="5"/>
  <c r="M29" i="5" s="1"/>
  <c r="AM24" i="5"/>
  <c r="M24" i="5" s="1"/>
  <c r="M48" i="1"/>
  <c r="M34" i="1"/>
  <c r="AM34" i="5" l="1"/>
  <c r="M34" i="5" s="1"/>
  <c r="M33" i="5"/>
  <c r="AM54" i="5"/>
  <c r="M51" i="5"/>
  <c r="AM41" i="7"/>
  <c r="M31" i="7"/>
  <c r="L74" i="7"/>
  <c r="L70" i="7"/>
  <c r="L69" i="7"/>
  <c r="L68" i="7"/>
  <c r="L67" i="7"/>
  <c r="L66" i="7"/>
  <c r="L65" i="7"/>
  <c r="L64" i="7"/>
  <c r="L63" i="7"/>
  <c r="L62" i="7"/>
  <c r="L61" i="7"/>
  <c r="L58" i="7"/>
  <c r="L57" i="7"/>
  <c r="L56" i="7"/>
  <c r="L55" i="7"/>
  <c r="L54" i="7"/>
  <c r="L53" i="7"/>
  <c r="L52" i="7"/>
  <c r="L51" i="7"/>
  <c r="L50" i="7"/>
  <c r="L49" i="7"/>
  <c r="L48" i="7"/>
  <c r="L47" i="7"/>
  <c r="L44" i="7"/>
  <c r="L12" i="7"/>
  <c r="L13" i="7"/>
  <c r="L14" i="7"/>
  <c r="L16" i="7"/>
  <c r="L17" i="7"/>
  <c r="L18" i="7"/>
  <c r="L19" i="7"/>
  <c r="L20" i="7"/>
  <c r="L21" i="7"/>
  <c r="L26" i="7"/>
  <c r="L27" i="7"/>
  <c r="L28" i="7"/>
  <c r="L29" i="7"/>
  <c r="L30" i="7"/>
  <c r="L31" i="7"/>
  <c r="L32" i="7"/>
  <c r="L33" i="7"/>
  <c r="L37" i="7"/>
  <c r="L39" i="7"/>
  <c r="L34" i="7"/>
  <c r="L38" i="7"/>
  <c r="L40" i="7"/>
  <c r="L41" i="7"/>
  <c r="L42" i="7"/>
  <c r="L43" i="7"/>
  <c r="L11" i="7"/>
  <c r="L10" i="7"/>
  <c r="L7" i="7"/>
  <c r="AM56" i="5" l="1"/>
  <c r="M54" i="5"/>
  <c r="AM44" i="7"/>
  <c r="M41" i="7"/>
  <c r="W40" i="6"/>
  <c r="V23" i="6"/>
  <c r="L57" i="5"/>
  <c r="L58" i="5"/>
  <c r="M10" i="1" s="1"/>
  <c r="AL51" i="5"/>
  <c r="AL52" i="5"/>
  <c r="AL53" i="5"/>
  <c r="AK52" i="5"/>
  <c r="AK53" i="5"/>
  <c r="AK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M58" i="5" l="1"/>
  <c r="M58" i="5" s="1"/>
  <c r="M56" i="5"/>
  <c r="AM72" i="7"/>
  <c r="M44" i="7"/>
  <c r="M72" i="7" s="1"/>
  <c r="L53" i="5"/>
  <c r="L52" i="5"/>
  <c r="AL54" i="5"/>
  <c r="AL56" i="5" s="1"/>
  <c r="L55" i="5"/>
  <c r="M12" i="2"/>
  <c r="M37" i="1" s="1"/>
  <c r="M50" i="2"/>
  <c r="M46" i="2" l="1"/>
  <c r="M45" i="2"/>
  <c r="M40" i="2"/>
  <c r="M39" i="2"/>
  <c r="M7" i="2"/>
  <c r="M32" i="1" s="1"/>
  <c r="AK51" i="5" l="1"/>
  <c r="V22" i="6"/>
  <c r="V18" i="6" s="1"/>
  <c r="L51" i="5" l="1"/>
  <c r="AK54" i="5"/>
  <c r="BH44" i="2"/>
  <c r="BG44" i="2"/>
  <c r="BF44" i="2"/>
  <c r="BE44" i="2"/>
  <c r="BD44" i="2"/>
  <c r="BC44" i="2"/>
  <c r="L45" i="2"/>
  <c r="L46" i="2"/>
  <c r="M44" i="2" l="1"/>
  <c r="L54" i="5"/>
  <c r="AK56" i="5"/>
  <c r="L56" i="5" s="1"/>
  <c r="M11" i="1" s="1"/>
  <c r="M32" i="2" l="1"/>
  <c r="M31" i="2"/>
  <c r="BH30" i="2"/>
  <c r="BG30" i="2"/>
  <c r="M30" i="2" l="1"/>
  <c r="K74" i="7" l="1"/>
  <c r="J74" i="7"/>
  <c r="I74" i="7"/>
  <c r="H74" i="7"/>
  <c r="G74" i="7"/>
  <c r="F74" i="7"/>
  <c r="E74" i="7"/>
  <c r="D74" i="7"/>
  <c r="C74" i="7"/>
  <c r="B74" i="7"/>
  <c r="K70" i="7"/>
  <c r="J70" i="7"/>
  <c r="I70" i="7"/>
  <c r="H70" i="7"/>
  <c r="G70" i="7"/>
  <c r="F70" i="7"/>
  <c r="E70" i="7"/>
  <c r="D70" i="7"/>
  <c r="C70" i="7"/>
  <c r="B70" i="7"/>
  <c r="K69" i="7"/>
  <c r="J69" i="7"/>
  <c r="I69" i="7"/>
  <c r="H69" i="7"/>
  <c r="G69" i="7"/>
  <c r="F69" i="7"/>
  <c r="E69" i="7"/>
  <c r="D69" i="7"/>
  <c r="C69" i="7"/>
  <c r="B69" i="7"/>
  <c r="K68" i="7"/>
  <c r="J68" i="7"/>
  <c r="I68" i="7"/>
  <c r="H68" i="7"/>
  <c r="G68" i="7"/>
  <c r="F68" i="7"/>
  <c r="E68" i="7"/>
  <c r="D68" i="7"/>
  <c r="C68" i="7"/>
  <c r="B68" i="7"/>
  <c r="K67" i="7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5" i="7"/>
  <c r="J55" i="7"/>
  <c r="I55" i="7"/>
  <c r="H55" i="7"/>
  <c r="G55" i="7"/>
  <c r="F55" i="7"/>
  <c r="E55" i="7"/>
  <c r="D55" i="7"/>
  <c r="C55" i="7"/>
  <c r="B55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4" i="7"/>
  <c r="K72" i="7" s="1"/>
  <c r="J44" i="7"/>
  <c r="J72" i="7" s="1"/>
  <c r="I44" i="7"/>
  <c r="I72" i="7" s="1"/>
  <c r="H44" i="7"/>
  <c r="H72" i="7" s="1"/>
  <c r="G44" i="7"/>
  <c r="G72" i="7" s="1"/>
  <c r="F44" i="7"/>
  <c r="F72" i="7" s="1"/>
  <c r="E44" i="7"/>
  <c r="E72" i="7" s="1"/>
  <c r="D44" i="7"/>
  <c r="D72" i="7" s="1"/>
  <c r="C44" i="7"/>
  <c r="C72" i="7" s="1"/>
  <c r="B44" i="7"/>
  <c r="B72" i="7" s="1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8" i="7"/>
  <c r="J38" i="7"/>
  <c r="I38" i="7"/>
  <c r="H38" i="7"/>
  <c r="G38" i="7"/>
  <c r="F38" i="7"/>
  <c r="E38" i="7"/>
  <c r="D38" i="7"/>
  <c r="C38" i="7"/>
  <c r="B38" i="7"/>
  <c r="K34" i="7"/>
  <c r="J34" i="7"/>
  <c r="I34" i="7"/>
  <c r="H34" i="7"/>
  <c r="G34" i="7"/>
  <c r="F34" i="7"/>
  <c r="E34" i="7"/>
  <c r="D34" i="7"/>
  <c r="C34" i="7"/>
  <c r="B34" i="7"/>
  <c r="K39" i="7"/>
  <c r="J39" i="7"/>
  <c r="I39" i="7"/>
  <c r="H39" i="7"/>
  <c r="G39" i="7"/>
  <c r="F39" i="7"/>
  <c r="E39" i="7"/>
  <c r="D39" i="7"/>
  <c r="C39" i="7"/>
  <c r="B39" i="7"/>
  <c r="K37" i="7"/>
  <c r="J37" i="7"/>
  <c r="I37" i="7"/>
  <c r="H37" i="7"/>
  <c r="G37" i="7"/>
  <c r="F37" i="7"/>
  <c r="E37" i="7"/>
  <c r="D37" i="7"/>
  <c r="C37" i="7"/>
  <c r="B37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J48" i="2" s="1"/>
  <c r="I48" i="2"/>
  <c r="K46" i="2"/>
  <c r="J46" i="2"/>
  <c r="K45" i="2"/>
  <c r="J45" i="2"/>
  <c r="BB44" i="2"/>
  <c r="BA44" i="2"/>
  <c r="AZ44" i="2"/>
  <c r="AY44" i="2"/>
  <c r="AX44" i="2"/>
  <c r="AW44" i="2"/>
  <c r="AV44" i="2"/>
  <c r="AU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I38" i="2"/>
  <c r="H38" i="2"/>
  <c r="G38" i="2"/>
  <c r="F38" i="2"/>
  <c r="E38" i="2"/>
  <c r="D38" i="2"/>
  <c r="L32" i="2"/>
  <c r="K32" i="2"/>
  <c r="J32" i="2"/>
  <c r="L31" i="2"/>
  <c r="K31" i="2"/>
  <c r="J31" i="2"/>
  <c r="BF30" i="2"/>
  <c r="BE30" i="2"/>
  <c r="BD30" i="2"/>
  <c r="BC30" i="2"/>
  <c r="BB30" i="2"/>
  <c r="BA30" i="2"/>
  <c r="AZ30" i="2"/>
  <c r="AY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H26" i="2"/>
  <c r="BG26" i="2"/>
  <c r="BF26" i="2"/>
  <c r="BE26" i="2"/>
  <c r="BD26" i="2"/>
  <c r="BC26" i="2"/>
  <c r="BB26" i="2"/>
  <c r="BA26" i="2"/>
  <c r="AZ26" i="2"/>
  <c r="AY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M48" i="2" l="1"/>
  <c r="E14" i="2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  <c r="N35" i="5" l="1"/>
  <c r="AP35" i="5"/>
  <c r="N36" i="5"/>
  <c r="AP36" i="5"/>
  <c r="N40" i="5"/>
  <c r="AP40" i="5"/>
  <c r="N41" i="5"/>
  <c r="AP41" i="5"/>
</calcChain>
</file>

<file path=xl/sharedStrings.xml><?xml version="1.0" encoding="utf-8"?>
<sst xmlns="http://schemas.openxmlformats.org/spreadsheetml/2006/main" count="928" uniqueCount="487">
  <si>
    <t>Overview</t>
  </si>
  <si>
    <t>Back to Contents</t>
  </si>
  <si>
    <t>Unit</t>
  </si>
  <si>
    <t>PROFIT AND LOSS</t>
  </si>
  <si>
    <t>Total Revenue</t>
  </si>
  <si>
    <t>mln RUB</t>
  </si>
  <si>
    <t>Pre-ppa Gross Profit</t>
  </si>
  <si>
    <t>Gross Profit</t>
  </si>
  <si>
    <t>Pre-ppa EBITDA</t>
  </si>
  <si>
    <t>EBITDA</t>
  </si>
  <si>
    <t>Net Profit</t>
  </si>
  <si>
    <t>BALANCE SHEET</t>
  </si>
  <si>
    <t>Total Debt</t>
  </si>
  <si>
    <t>Corporate Debt</t>
  </si>
  <si>
    <t>Project Debt</t>
  </si>
  <si>
    <r>
      <t>Cash and Cash equivalents</t>
    </r>
    <r>
      <rPr>
        <vertAlign val="superscript"/>
        <sz val="10"/>
        <color rgb="FF000000"/>
        <rFont val="Arial"/>
        <family val="2"/>
        <charset val="204"/>
      </rPr>
      <t>(1)</t>
    </r>
  </si>
  <si>
    <t xml:space="preserve">Cash on escrow </t>
  </si>
  <si>
    <t>Net Corporate Debt (Cash)</t>
  </si>
  <si>
    <t>Net Corporate Debt/pre-PPA EBITDA</t>
  </si>
  <si>
    <t>x</t>
  </si>
  <si>
    <t>CASH FLOW</t>
  </si>
  <si>
    <t>Operating Cash Flow less interest paid</t>
  </si>
  <si>
    <t xml:space="preserve">OCF adjusted for escrow cash </t>
  </si>
  <si>
    <t>Free Cash Flow</t>
  </si>
  <si>
    <t xml:space="preserve">FCF adjusted for escrow cash </t>
  </si>
  <si>
    <t xml:space="preserve">Cash collections on escrow </t>
  </si>
  <si>
    <t>SALES &amp; CASH COLLECTIONS</t>
  </si>
  <si>
    <t>New sales</t>
  </si>
  <si>
    <t>Cash collections</t>
  </si>
  <si>
    <t>Average price</t>
  </si>
  <si>
    <t>RUB/sqm</t>
  </si>
  <si>
    <t>NUMBER OF CONTRACTS &amp; MORTGAGE SALES</t>
  </si>
  <si>
    <t xml:space="preserve">Number of contracts </t>
  </si>
  <si>
    <t> </t>
  </si>
  <si>
    <t>Number of mortgage contracts</t>
  </si>
  <si>
    <t>Share of mortgages</t>
  </si>
  <si>
    <t>%</t>
  </si>
  <si>
    <t>SALES &amp; DELIVERIES</t>
  </si>
  <si>
    <t>sqm</t>
  </si>
  <si>
    <t>Deliveries</t>
  </si>
  <si>
    <t>PROJECT PORTFOLIO</t>
  </si>
  <si>
    <t>OMV of Assets</t>
  </si>
  <si>
    <t>OMV of Project portfolio</t>
  </si>
  <si>
    <t>Unsold NSA</t>
  </si>
  <si>
    <t>ths sqm</t>
  </si>
  <si>
    <t>(1) Including bank deposits over 3 months</t>
  </si>
  <si>
    <t>Key Operating Results</t>
  </si>
  <si>
    <t>1Q 2011</t>
  </si>
  <si>
    <t>2Q 2011</t>
  </si>
  <si>
    <t>3Q 2011</t>
  </si>
  <si>
    <t>4Q 2011</t>
  </si>
  <si>
    <t>1Q 2012</t>
  </si>
  <si>
    <t>2Q 2012</t>
  </si>
  <si>
    <t>3Q 2012</t>
  </si>
  <si>
    <t>4Q 2012</t>
  </si>
  <si>
    <t>1Q 2013</t>
  </si>
  <si>
    <t>2Q 2013</t>
  </si>
  <si>
    <t>3Q 2013</t>
  </si>
  <si>
    <t>4Q 2013</t>
  </si>
  <si>
    <t>1Q 2014</t>
  </si>
  <si>
    <t>2Q 2014</t>
  </si>
  <si>
    <t>3Q 2014</t>
  </si>
  <si>
    <t>4Q 2014</t>
  </si>
  <si>
    <t>1Q 2015</t>
  </si>
  <si>
    <t>2Q 2015</t>
  </si>
  <si>
    <t>3Q 2015</t>
  </si>
  <si>
    <t>4Q 2015</t>
  </si>
  <si>
    <t>1Q 2016</t>
  </si>
  <si>
    <t>2Q 2016</t>
  </si>
  <si>
    <t>3Q 2016</t>
  </si>
  <si>
    <t>4Q 2016</t>
  </si>
  <si>
    <t>1Q 2017</t>
  </si>
  <si>
    <t>2Q 2017</t>
  </si>
  <si>
    <t>3Q 2017</t>
  </si>
  <si>
    <t>4Q 2017</t>
  </si>
  <si>
    <t>1Q 2018</t>
  </si>
  <si>
    <t>2Q 2018</t>
  </si>
  <si>
    <t>3Q 2018</t>
  </si>
  <si>
    <t>4Q 2018</t>
  </si>
  <si>
    <t>1Q 2019</t>
  </si>
  <si>
    <t>2Q 2019</t>
  </si>
  <si>
    <t>3Q 2019</t>
  </si>
  <si>
    <t>4Q 2019</t>
  </si>
  <si>
    <t>1Q 2020</t>
  </si>
  <si>
    <t>2Q 2020</t>
  </si>
  <si>
    <t>3Q 2020</t>
  </si>
  <si>
    <t>4Q 2020</t>
  </si>
  <si>
    <t>1Q 2021</t>
  </si>
  <si>
    <t>2Q 2021</t>
  </si>
  <si>
    <t>3Q 2021</t>
  </si>
  <si>
    <t>4Q 2021</t>
  </si>
  <si>
    <t>NEW SALES &amp; DELIVERIES</t>
  </si>
  <si>
    <t>Moscow</t>
  </si>
  <si>
    <t>Saint-Petersburg</t>
  </si>
  <si>
    <t>-</t>
  </si>
  <si>
    <t>Land Bank Valuation</t>
  </si>
  <si>
    <t>Botanica</t>
  </si>
  <si>
    <t>Domino</t>
  </si>
  <si>
    <t>Galactica</t>
  </si>
  <si>
    <t>Moscow Gates</t>
  </si>
  <si>
    <t>Okhta House</t>
  </si>
  <si>
    <t>Samotsvety</t>
  </si>
  <si>
    <t>Emerald Hills</t>
  </si>
  <si>
    <t>Etalon-City</t>
  </si>
  <si>
    <t>Fotievoi 5</t>
  </si>
  <si>
    <t>ZIL-Yug</t>
  </si>
  <si>
    <t>Zorge 3</t>
  </si>
  <si>
    <t>PRODUCTION UNIT</t>
  </si>
  <si>
    <t>Residential</t>
  </si>
  <si>
    <t>Commercial</t>
  </si>
  <si>
    <t>Parking</t>
  </si>
  <si>
    <t>Jubilee Estate</t>
  </si>
  <si>
    <t>Tsar's Capital</t>
  </si>
  <si>
    <t>Silver Fountain</t>
  </si>
  <si>
    <t>Summer Garden</t>
  </si>
  <si>
    <t>Consolidated Statement of Profit or Loss and Other Comprehensive Income (IFRS)</t>
  </si>
  <si>
    <t>1H 2011</t>
  </si>
  <si>
    <t>2H 2011</t>
  </si>
  <si>
    <t>1H 2012</t>
  </si>
  <si>
    <t>2H 2012</t>
  </si>
  <si>
    <t>1H 2013</t>
  </si>
  <si>
    <t>2H 2013</t>
  </si>
  <si>
    <t>1H 2014</t>
  </si>
  <si>
    <t>2H 2014</t>
  </si>
  <si>
    <t>1H 2015</t>
  </si>
  <si>
    <t>2H 2015</t>
  </si>
  <si>
    <t>1H 2016</t>
  </si>
  <si>
    <t>2H 2016</t>
  </si>
  <si>
    <t>1H 2017</t>
  </si>
  <si>
    <t>2H 2017</t>
  </si>
  <si>
    <t>1H 2018</t>
  </si>
  <si>
    <t>2H 2018</t>
  </si>
  <si>
    <t>1H 2019</t>
  </si>
  <si>
    <t>2H 2019</t>
  </si>
  <si>
    <t>1H 2020</t>
  </si>
  <si>
    <t>2H 2020</t>
  </si>
  <si>
    <t>Revenue from sale of real estate accounted for at historical cost</t>
  </si>
  <si>
    <t>Revenue from sale of real estate acquired through business combinations and recognised at fair value at initial recognition</t>
  </si>
  <si>
    <t>Other revenue</t>
  </si>
  <si>
    <t>Revenue</t>
  </si>
  <si>
    <t>Cost of sales of real estate accounted for at historical cost</t>
  </si>
  <si>
    <t>Cost of sales of real estate acquired through business combinations and recognised at fair value at initial recognition</t>
  </si>
  <si>
    <t>Other cost of sales</t>
  </si>
  <si>
    <t>Cost of sales</t>
  </si>
  <si>
    <t>Gross profit from sales of real estate accounted for at historical cost</t>
  </si>
  <si>
    <t>Gross profit from sales of real estate acquired through business combinations and recognised at fair value at initial recognition</t>
  </si>
  <si>
    <t>Gross profit from other sales</t>
  </si>
  <si>
    <t>Gross profit</t>
  </si>
  <si>
    <t>General and administrative expenses</t>
  </si>
  <si>
    <t>Selling expenses</t>
  </si>
  <si>
    <t>Impairment loss on trade and other receivables</t>
  </si>
  <si>
    <t>Gain from bargain purchase</t>
  </si>
  <si>
    <t>Other expenses, net</t>
  </si>
  <si>
    <t>Results from operating activities</t>
  </si>
  <si>
    <t>Finance income – interest revenue</t>
  </si>
  <si>
    <t>Finance income - other</t>
  </si>
  <si>
    <t>Finance costs</t>
  </si>
  <si>
    <t>Net finance costs</t>
  </si>
  <si>
    <t>Share of profit of equity accounted investees (net of income tax)</t>
  </si>
  <si>
    <t>Profit before income tax</t>
  </si>
  <si>
    <t>Income tax expense</t>
  </si>
  <si>
    <t>Profit for the year</t>
  </si>
  <si>
    <t>Total comprehensive income for the year</t>
  </si>
  <si>
    <t>Profit attributable to:</t>
  </si>
  <si>
    <t>Owners of the Company</t>
  </si>
  <si>
    <t>Non-controlling interest</t>
  </si>
  <si>
    <t>Total comprehensive income attributable to:</t>
  </si>
  <si>
    <t>Depreciation</t>
  </si>
  <si>
    <t>PrePPA EBITDA</t>
  </si>
  <si>
    <t>Less: General and administrative expenses</t>
  </si>
  <si>
    <t>Less: Selling expenses</t>
  </si>
  <si>
    <t>Adjusted operating profit</t>
  </si>
  <si>
    <t>Add: Depreciation and amortisation</t>
  </si>
  <si>
    <t>Add: PPA in cost of sales</t>
  </si>
  <si>
    <t>Consolidated Statement of Financial Position (IFRS)</t>
  </si>
  <si>
    <t>ASSETS</t>
  </si>
  <si>
    <t>Non-current assets</t>
  </si>
  <si>
    <t>Property, plant and equipment</t>
  </si>
  <si>
    <t>Investment property</t>
  </si>
  <si>
    <t>Other long-term investments</t>
  </si>
  <si>
    <t>Trade and other receivables</t>
  </si>
  <si>
    <t>Deferred tax assets</t>
  </si>
  <si>
    <t>Other non-current assets</t>
  </si>
  <si>
    <t>Total non-current assets</t>
  </si>
  <si>
    <t>Current assets</t>
  </si>
  <si>
    <t>Inventories:</t>
  </si>
  <si>
    <t>Inventories under construction and development</t>
  </si>
  <si>
    <t>Inventories - finished goods</t>
  </si>
  <si>
    <t>Other inventories</t>
  </si>
  <si>
    <t>Less: Allowance for obsolete inventories*</t>
  </si>
  <si>
    <t>Contract assets, trade and other receivables:</t>
  </si>
  <si>
    <t>Advances paid to suppliers</t>
  </si>
  <si>
    <t>Contract assets</t>
  </si>
  <si>
    <t>Trade receivables</t>
  </si>
  <si>
    <t>Other receivables</t>
  </si>
  <si>
    <t>Costs to obtain contracts</t>
  </si>
  <si>
    <t>Short-term investments</t>
  </si>
  <si>
    <t>Cash and cash equivalents</t>
  </si>
  <si>
    <t>Other current assets</t>
  </si>
  <si>
    <t>Total current assets</t>
  </si>
  <si>
    <t>Assets held for sale</t>
  </si>
  <si>
    <t>TOTAL ASSETS</t>
  </si>
  <si>
    <t>EQUITY AND LIABILITIES</t>
  </si>
  <si>
    <t>Equity</t>
  </si>
  <si>
    <t>Share capital:</t>
  </si>
  <si>
    <t>Share capital</t>
  </si>
  <si>
    <t>Share premium</t>
  </si>
  <si>
    <t>Reserve for own shares</t>
  </si>
  <si>
    <t>Share options reserve</t>
  </si>
  <si>
    <t>Retained earnings</t>
  </si>
  <si>
    <t>Total equity attributable to equity holders of the Company</t>
  </si>
  <si>
    <t>Total equity</t>
  </si>
  <si>
    <t>Non-current liabilities</t>
  </si>
  <si>
    <t>Loans and borrowings</t>
  </si>
  <si>
    <t>Contract liabilities, trade and other рауаblеs</t>
  </si>
  <si>
    <t>Trade and other payables</t>
  </si>
  <si>
    <t>Contract liabilities</t>
  </si>
  <si>
    <t>Provisions</t>
  </si>
  <si>
    <t>Deferred tax liabilities</t>
  </si>
  <si>
    <t>Total non-current liabilities</t>
  </si>
  <si>
    <t>Current liabllities</t>
  </si>
  <si>
    <t>Trade and other рауаblеs</t>
  </si>
  <si>
    <t>Total current liabilities</t>
  </si>
  <si>
    <t>TOTAL EQUITY AND LIABILITIES</t>
  </si>
  <si>
    <t>Consolidated Statement of Cash Flows (IFRS)</t>
  </si>
  <si>
    <t>OPERATING ACTIVITIES</t>
  </si>
  <si>
    <t>Adjustments for:</t>
  </si>
  <si>
    <t>Gain on disposal of property, plant and equipment</t>
  </si>
  <si>
    <t>Gain on disposal of investment property</t>
  </si>
  <si>
    <t>Loss on disposal of inventories under construction and development</t>
  </si>
  <si>
    <t>Impairment loss on investment property</t>
  </si>
  <si>
    <t>Impairment loss on inventories</t>
  </si>
  <si>
    <t>Impairment loss on trade and other receivables, advances paid to suppliers and investments</t>
  </si>
  <si>
    <t>Equity-settled share-based payment transactions</t>
  </si>
  <si>
    <t>Gain on disposal of other investsments</t>
  </si>
  <si>
    <t>Significant financing component from contracts with customers recognised in revenue</t>
  </si>
  <si>
    <t>Savings on escrow-backed loans recognised in revenue</t>
  </si>
  <si>
    <t>Finance costs/(income), net</t>
  </si>
  <si>
    <t>Cash from operating activities before changes in working capital and provisions</t>
  </si>
  <si>
    <t>Change in inventories</t>
  </si>
  <si>
    <t>Change in accounts receivable</t>
  </si>
  <si>
    <t>Change in accounts payable</t>
  </si>
  <si>
    <t>Change in provisions</t>
  </si>
  <si>
    <t>Change in contract assets</t>
  </si>
  <si>
    <t>Change in contract liabilities</t>
  </si>
  <si>
    <t>Change in other current assets</t>
  </si>
  <si>
    <t>Cash generated from operating activities</t>
  </si>
  <si>
    <t>Income tax paid</t>
  </si>
  <si>
    <t>Interest paid</t>
  </si>
  <si>
    <t>Net cash (used in)/from operating activities</t>
  </si>
  <si>
    <t>INVESTING ACTIVITIES</t>
  </si>
  <si>
    <t>Proceeds from disposal of property, plant and equipment</t>
  </si>
  <si>
    <t>Proceeds from disposal of investment property</t>
  </si>
  <si>
    <t>Interest received</t>
  </si>
  <si>
    <t>Acquisition of property, plant and equipment</t>
  </si>
  <si>
    <t>Loans given</t>
  </si>
  <si>
    <t>Loans repaid</t>
  </si>
  <si>
    <t>Disposal of subsidiaries, net of cash disposed of</t>
  </si>
  <si>
    <t>Acquisition of subsidiaries, net of cash acquired</t>
  </si>
  <si>
    <t>Acquisition of other investments</t>
  </si>
  <si>
    <t>Disposal of other investments</t>
  </si>
  <si>
    <t>Net cash from/(used in) investing activities</t>
  </si>
  <si>
    <t>FINANCING ACTIVITIES</t>
  </si>
  <si>
    <t>Proceeds from IPO</t>
  </si>
  <si>
    <t>Proceeds from issue of share capital</t>
  </si>
  <si>
    <t>Proceeds from borrowings</t>
  </si>
  <si>
    <t>Repayments of borrowings</t>
  </si>
  <si>
    <t>Acquisition of non-controlling interest</t>
  </si>
  <si>
    <t>Disposal of non-controlling interest</t>
  </si>
  <si>
    <t>Acquisition of own shares</t>
  </si>
  <si>
    <t>Payments for lease liabilities, excluding interest</t>
  </si>
  <si>
    <t>Dividends paid</t>
  </si>
  <si>
    <t>Net cash (used in)/from financing activities</t>
  </si>
  <si>
    <t>Net (decrease)/increase in cash and cash equivalents</t>
  </si>
  <si>
    <t>Cash and cash equivalents at the beginning of the year</t>
  </si>
  <si>
    <t>Effect of exchange rate fluctuations</t>
  </si>
  <si>
    <t>Cash and cash equivalents at the end of the year</t>
  </si>
  <si>
    <t>Investor Relations</t>
  </si>
  <si>
    <t xml:space="preserve">ir@etalongroup.com </t>
  </si>
  <si>
    <t>CONTENTS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</si>
  <si>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</si>
  <si>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</si>
  <si>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Operating Results</t>
  </si>
  <si>
    <t xml:space="preserve">Key Operating Results </t>
  </si>
  <si>
    <t>Estimated Sale Prices by Project</t>
  </si>
  <si>
    <t>EBITDA calculation</t>
  </si>
  <si>
    <t>Financial Statements (IFRS)</t>
  </si>
  <si>
    <t>Consolidated Statement of Financial Position</t>
  </si>
  <si>
    <t>Consolidated Statement of Profit or Loss and Other Comprehensive Income</t>
  </si>
  <si>
    <t xml:space="preserve">Consolidated Statement of Cash Flows </t>
  </si>
  <si>
    <t>Key Operating Results by Region</t>
  </si>
  <si>
    <t>1H 2021</t>
  </si>
  <si>
    <t>(Gain)/loss on disposal of subsidiaries</t>
  </si>
  <si>
    <t>2H 2021</t>
  </si>
  <si>
    <t>Share of loss of equity accounted investees</t>
  </si>
  <si>
    <t>Pushkin Village</t>
  </si>
  <si>
    <t>Project on Kievskaya St</t>
  </si>
  <si>
    <t>Omsk</t>
  </si>
  <si>
    <t>Green River</t>
  </si>
  <si>
    <t>Tyumen</t>
  </si>
  <si>
    <t>Project in Tyumen</t>
  </si>
  <si>
    <t>Voxhall</t>
  </si>
  <si>
    <t>1Q 2022</t>
  </si>
  <si>
    <t>2Q 2022</t>
  </si>
  <si>
    <t>Regions</t>
  </si>
  <si>
    <t xml:space="preserve"> 30.06.2022</t>
  </si>
  <si>
    <t>1H 2022</t>
  </si>
  <si>
    <t>Intangible assets</t>
  </si>
  <si>
    <t>Acquisition of investment in associates and joint ventures</t>
  </si>
  <si>
    <t>3Q 2022</t>
  </si>
  <si>
    <t>4Q 2022</t>
  </si>
  <si>
    <t>2H 2022</t>
  </si>
  <si>
    <t>Gain on disposal of associate</t>
  </si>
  <si>
    <t>#</t>
  </si>
  <si>
    <t>Project name</t>
  </si>
  <si>
    <t>Region</t>
  </si>
  <si>
    <t>Market value of the Company's share, mln RUB</t>
  </si>
  <si>
    <t>Land tenure</t>
  </si>
  <si>
    <t>Site area, ha</t>
  </si>
  <si>
    <t>Total net sellable area, sq m</t>
  </si>
  <si>
    <t>Net sellable area (Etalon’s share), including car parking, sq m</t>
  </si>
  <si>
    <t>Unsold net area (Etalon’s share), including car parking, sq m</t>
  </si>
  <si>
    <t>Total construction budget, mln RUB</t>
  </si>
  <si>
    <t>Estimated outstanding construction costs, mln RUB</t>
  </si>
  <si>
    <t>Total income from sales, mln RUB</t>
  </si>
  <si>
    <t>Discount rate</t>
  </si>
  <si>
    <t>Estimated sale prices, RUB/sq m or lot (rounded)</t>
  </si>
  <si>
    <t>Development stage</t>
  </si>
  <si>
    <t>Date of commissioning</t>
  </si>
  <si>
    <t>Additional information</t>
  </si>
  <si>
    <t>Total</t>
  </si>
  <si>
    <t>Social</t>
  </si>
  <si>
    <t>Parking, lots</t>
  </si>
  <si>
    <t>Parking, sq m</t>
  </si>
  <si>
    <t>Total land payments, mln RUB</t>
  </si>
  <si>
    <t>Outstanding land payments (incl. the cost of changing land use (VRI)), mln RUB</t>
  </si>
  <si>
    <t>The cost of changing land use (VRI) and other land expenses, mln RUB</t>
  </si>
  <si>
    <t>Discounted outstanding land payments (incl. the cost of changing land use (VRI)), mln RUB</t>
  </si>
  <si>
    <t>Discounted cost of changing land use (VRI) and other land expenses, mln RUB</t>
  </si>
  <si>
    <t>Leasehold</t>
  </si>
  <si>
    <t>Construction</t>
  </si>
  <si>
    <t>Nagatino i-Land</t>
  </si>
  <si>
    <t>Freehold</t>
  </si>
  <si>
    <t>Moscow region</t>
  </si>
  <si>
    <t>Freehold and investment contract</t>
  </si>
  <si>
    <t>2011 - 2017, 2019, 2022, 2023</t>
  </si>
  <si>
    <t>Preliminary agreement</t>
  </si>
  <si>
    <t>Design stage</t>
  </si>
  <si>
    <t>Desyatka</t>
  </si>
  <si>
    <t>Saint Petersburg</t>
  </si>
  <si>
    <t>2018 - 2021, 2022, 2023</t>
  </si>
  <si>
    <t>Project on Chernigovskaya St</t>
  </si>
  <si>
    <t>Completed</t>
  </si>
  <si>
    <t>2022, 2024</t>
  </si>
  <si>
    <t>Project in the Krasnogvardeiskiy district</t>
  </si>
  <si>
    <t>Freehold, preliminary agreement</t>
  </si>
  <si>
    <t>Novoorlovsky</t>
  </si>
  <si>
    <t>iLona</t>
  </si>
  <si>
    <t>Wellamo</t>
  </si>
  <si>
    <t>Novosibirsk</t>
  </si>
  <si>
    <t>Yekaterinburg</t>
  </si>
  <si>
    <t>Suomen Ranta</t>
  </si>
  <si>
    <t>2023, 2024</t>
  </si>
  <si>
    <t>Rauta</t>
  </si>
  <si>
    <t>Baltym Park</t>
  </si>
  <si>
    <t>Schastye v Kazan</t>
  </si>
  <si>
    <t>Kazan</t>
  </si>
  <si>
    <t>Kvartal Suita</t>
  </si>
  <si>
    <t>2023, 2026</t>
  </si>
  <si>
    <t>Green</t>
  </si>
  <si>
    <t>Completed projects in MMA</t>
  </si>
  <si>
    <t>2016 - 2018</t>
  </si>
  <si>
    <t>2018 - 2019, 2021</t>
  </si>
  <si>
    <t>Andropova 18</t>
  </si>
  <si>
    <t>Finskiy</t>
  </si>
  <si>
    <t>2022 - 2023</t>
  </si>
  <si>
    <t>Completed projects in SPb</t>
  </si>
  <si>
    <t>Petrovskiy Landmark (Petrovskiy Island)</t>
  </si>
  <si>
    <t>Freehold and leasehold</t>
  </si>
  <si>
    <t>2015 - 2017</t>
  </si>
  <si>
    <t>Smolny</t>
  </si>
  <si>
    <t>Total Residential Development Projects</t>
  </si>
  <si>
    <t>Property name</t>
  </si>
  <si>
    <t>Unsold net area, including car parking, sq m (Etalon’s share)</t>
  </si>
  <si>
    <t>Project portfolio</t>
  </si>
  <si>
    <t>Total Project Portfolio</t>
  </si>
  <si>
    <t>Net sellable/leasable area, including car parking, sq.m</t>
  </si>
  <si>
    <t>Estimated market rental income per annum, mln RUB, incl. OPEX, net of VAT</t>
  </si>
  <si>
    <t>Estimated market rental rates, RUB/sq m or lot/year, incl. OPEX, net of VAT</t>
  </si>
  <si>
    <t>Buildings for own use</t>
  </si>
  <si>
    <t>Office building 3, Bogatyrsky Ave</t>
  </si>
  <si>
    <t>Total Buildings for own use</t>
  </si>
  <si>
    <t>Total Production Unit Value</t>
  </si>
  <si>
    <t>Assets portfolio</t>
  </si>
  <si>
    <t>Total Assets</t>
  </si>
  <si>
    <t>1H 2023</t>
  </si>
  <si>
    <t xml:space="preserve"> 30.06.2023</t>
  </si>
  <si>
    <t>Cost of social infrastructure facilities within the implemented projects</t>
  </si>
  <si>
    <t>1Q 2023</t>
  </si>
  <si>
    <t>2Q 2023</t>
  </si>
  <si>
    <t>3Q 2023</t>
  </si>
  <si>
    <t>4Q 2023</t>
  </si>
  <si>
    <t>Repayment of project financing — Funds released from escrow</t>
  </si>
  <si>
    <t>2H 2023</t>
  </si>
  <si>
    <t xml:space="preserve"> 31.12.2023</t>
  </si>
  <si>
    <t>Less: Allowance for doubtful accounts receivable*</t>
  </si>
  <si>
    <t>Income tax payable</t>
  </si>
  <si>
    <t>n/a</t>
  </si>
  <si>
    <t>Wings (Lobachevskogo 120)</t>
  </si>
  <si>
    <t>Project on Professor Popov St (Petrogradskiy district)</t>
  </si>
  <si>
    <t>Monografiya</t>
  </si>
  <si>
    <t>Pulkovskiy dom</t>
  </si>
  <si>
    <t>Schastye v Koltsovo</t>
  </si>
  <si>
    <t>Solnechny (Ekaterinburg)</t>
  </si>
  <si>
    <t>Schastye v Tyumen</t>
  </si>
  <si>
    <t>Schastye na Sokole (Usievicha st., 10B)</t>
  </si>
  <si>
    <t>Etalon on the Neva (Nevskiy district)</t>
  </si>
  <si>
    <t>Finskiy zaliv</t>
  </si>
  <si>
    <t>na</t>
  </si>
  <si>
    <t>Plots for sale</t>
  </si>
  <si>
    <t>Ivovaya</t>
  </si>
  <si>
    <t>Total Plots for sale</t>
  </si>
  <si>
    <t>Production Unit Entities Value</t>
  </si>
  <si>
    <t>1Q 2024</t>
  </si>
  <si>
    <t>2Q 2024</t>
  </si>
  <si>
    <t>1H 2024</t>
  </si>
  <si>
    <t xml:space="preserve"> 30.06.2024</t>
  </si>
  <si>
    <t>3Q 2024</t>
  </si>
  <si>
    <t>4Q 2024</t>
  </si>
  <si>
    <t>2H 2024</t>
  </si>
  <si>
    <t>Future interest savings on concluded project finance agreements using escrow accounts</t>
  </si>
  <si>
    <t>Unearned revenue</t>
  </si>
  <si>
    <t>Loss on intangible asset disposal</t>
  </si>
  <si>
    <t>Income on accounts payable write-off</t>
  </si>
  <si>
    <t>Change in contract costs</t>
  </si>
  <si>
    <t>Change in future interest savings on concluded project finance agreements using escrow accounts</t>
  </si>
  <si>
    <t>1Q 2025</t>
  </si>
  <si>
    <t>Construction costs before 2025, mln RUB</t>
  </si>
  <si>
    <t>Outstanding payments for the areas sold from 2025, mln RUB</t>
  </si>
  <si>
    <t>Income from sales from 2025, mln RUB</t>
  </si>
  <si>
    <t>Funds in escrow accounts as at 31.12.2024, mln RUB</t>
  </si>
  <si>
    <t>Principal debt as at 31.12.2024, mln RUB</t>
  </si>
  <si>
    <t>Land payments before 2025, mln RUB</t>
  </si>
  <si>
    <t>Current projects in MMA</t>
  </si>
  <si>
    <t>2023, 2025 - 2032</t>
  </si>
  <si>
    <t>2022 - 2023, 2027 - 2028</t>
  </si>
  <si>
    <t>MariInn Park (Project on Oktyabrskaya St)</t>
  </si>
  <si>
    <t>SokolInn Park (3-Grazhdanskaya St)</t>
  </si>
  <si>
    <t>Total Current projects MMA</t>
  </si>
  <si>
    <t>Current projects in SPb</t>
  </si>
  <si>
    <t>Klyukva.Park (Shushary)</t>
  </si>
  <si>
    <t>Avenue Apart Pulkovo</t>
  </si>
  <si>
    <t>Pryazhki Emb</t>
  </si>
  <si>
    <t>Murino</t>
  </si>
  <si>
    <t>Leningrad region</t>
  </si>
  <si>
    <t>2028 - 2032</t>
  </si>
  <si>
    <t>Total Current projects St Petersburg</t>
  </si>
  <si>
    <t>Current projects in Omsk</t>
  </si>
  <si>
    <t>2024 - 2036</t>
  </si>
  <si>
    <t>Current projects in Novosibirsk region</t>
  </si>
  <si>
    <t>2026, 2028 - 2031</t>
  </si>
  <si>
    <t>Current projects in Ekaterinburg</t>
  </si>
  <si>
    <t>Ekaterinburg</t>
  </si>
  <si>
    <t>2024 - 2038</t>
  </si>
  <si>
    <t>2024 - 2025</t>
  </si>
  <si>
    <t>2022 - 2025, 2027 - 2028</t>
  </si>
  <si>
    <t>2026, 2028 - 2038</t>
  </si>
  <si>
    <t>Current projects in Tumen</t>
  </si>
  <si>
    <t>2025 - 2029</t>
  </si>
  <si>
    <t>Current projects in Kazan</t>
  </si>
  <si>
    <t>2025, 2028</t>
  </si>
  <si>
    <t xml:space="preserve">Total Current projects in the Regions </t>
  </si>
  <si>
    <t>2019 - 2024</t>
  </si>
  <si>
    <t>2021, 2023, 2024</t>
  </si>
  <si>
    <t>Total Completed projects MMA</t>
  </si>
  <si>
    <t>Domino Premium</t>
  </si>
  <si>
    <t>Total Completed projects SPb</t>
  </si>
  <si>
    <t>Completed projects in the Regions</t>
  </si>
  <si>
    <t>Total Completed projects in the Regions</t>
  </si>
  <si>
    <t>Kumzhagrad</t>
  </si>
  <si>
    <t>Rostov-on-Don</t>
  </si>
  <si>
    <t>2Q 2025</t>
  </si>
  <si>
    <t>1Н 2025</t>
  </si>
  <si>
    <t xml:space="preserve"> 30.06.2025</t>
  </si>
  <si>
    <t>Revaluation of the provision for impairment of advances issued</t>
  </si>
  <si>
    <t>3Q 2025</t>
  </si>
  <si>
    <t>4Q2025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</si>
</sst>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i/>
      <sz val="7"/>
      <color theme="1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2" fillId="0" borderId="0" applyFill="0" applyBorder="0" applyProtection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23">
    <xf numFmtId="0" fontId="0" fillId="0" borderId="0" xfId="0"/>
    <xf numFmtId="0" fontId="5" fillId="0" borderId="0" xfId="2" applyFont="1"/>
    <xf numFmtId="0" fontId="6" fillId="0" borderId="0" xfId="1" applyFont="1"/>
    <xf numFmtId="0" fontId="7" fillId="0" borderId="1" xfId="2" applyFont="1" applyBorder="1"/>
    <xf numFmtId="0" fontId="8" fillId="0" borderId="1" xfId="2" applyFont="1" applyBorder="1" applyAlignment="1">
      <alignment horizontal="center"/>
    </xf>
    <xf numFmtId="0" fontId="9" fillId="0" borderId="0" xfId="3" applyFont="1" applyAlignment="1">
      <alignment wrapText="1"/>
    </xf>
    <xf numFmtId="0" fontId="10" fillId="0" borderId="0" xfId="0" applyFont="1"/>
    <xf numFmtId="4" fontId="11" fillId="0" borderId="0" xfId="2" applyNumberFormat="1" applyFont="1"/>
    <xf numFmtId="165" fontId="7" fillId="0" borderId="0" xfId="2" applyNumberFormat="1" applyFont="1"/>
    <xf numFmtId="0" fontId="7" fillId="0" borderId="0" xfId="2" applyFont="1"/>
    <xf numFmtId="4" fontId="7" fillId="0" borderId="0" xfId="2" applyNumberFormat="1" applyFont="1"/>
    <xf numFmtId="0" fontId="8" fillId="0" borderId="0" xfId="2" applyFont="1" applyAlignment="1">
      <alignment horizontal="center"/>
    </xf>
    <xf numFmtId="166" fontId="7" fillId="0" borderId="0" xfId="2" applyNumberFormat="1" applyFont="1"/>
    <xf numFmtId="0" fontId="9" fillId="0" borderId="0" xfId="2" applyFont="1"/>
    <xf numFmtId="3" fontId="7" fillId="0" borderId="0" xfId="2" applyNumberFormat="1" applyFont="1"/>
    <xf numFmtId="0" fontId="7" fillId="0" borderId="2" xfId="2" applyFont="1" applyBorder="1"/>
    <xf numFmtId="4" fontId="11" fillId="0" borderId="2" xfId="2" applyNumberFormat="1" applyFont="1" applyBorder="1"/>
    <xf numFmtId="3" fontId="7" fillId="0" borderId="2" xfId="2" applyNumberFormat="1" applyFont="1" applyBorder="1"/>
    <xf numFmtId="0" fontId="11" fillId="0" borderId="0" xfId="2" applyFont="1"/>
    <xf numFmtId="0" fontId="13" fillId="0" borderId="1" xfId="2" applyFont="1" applyBorder="1" applyAlignment="1">
      <alignment horizontal="center" vertical="center"/>
    </xf>
    <xf numFmtId="167" fontId="7" fillId="0" borderId="0" xfId="2" applyNumberFormat="1" applyFont="1"/>
    <xf numFmtId="16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indent="1"/>
    </xf>
    <xf numFmtId="0" fontId="7" fillId="0" borderId="0" xfId="2" applyFont="1" applyAlignment="1">
      <alignment horizontal="left" indent="3"/>
    </xf>
    <xf numFmtId="0" fontId="7" fillId="0" borderId="3" xfId="2" applyFont="1" applyBorder="1"/>
    <xf numFmtId="4" fontId="11" fillId="0" borderId="3" xfId="2" applyNumberFormat="1" applyFont="1" applyBorder="1"/>
    <xf numFmtId="167" fontId="7" fillId="0" borderId="3" xfId="2" applyNumberFormat="1" applyFont="1" applyBorder="1" applyAlignment="1">
      <alignment horizontal="right" vertical="center"/>
    </xf>
    <xf numFmtId="167" fontId="7" fillId="0" borderId="3" xfId="2" applyNumberFormat="1" applyFont="1" applyBorder="1"/>
    <xf numFmtId="0" fontId="8" fillId="0" borderId="0" xfId="2" applyFont="1"/>
    <xf numFmtId="167" fontId="8" fillId="0" borderId="0" xfId="2" applyNumberFormat="1" applyFont="1" applyAlignment="1">
      <alignment horizontal="right" vertical="center"/>
    </xf>
    <xf numFmtId="167" fontId="8" fillId="0" borderId="0" xfId="2" applyNumberFormat="1" applyFont="1"/>
    <xf numFmtId="167" fontId="8" fillId="0" borderId="2" xfId="2" applyNumberFormat="1" applyFont="1" applyBorder="1" applyAlignment="1">
      <alignment horizontal="right" vertical="center"/>
    </xf>
    <xf numFmtId="0" fontId="9" fillId="0" borderId="0" xfId="0" applyFont="1"/>
    <xf numFmtId="0" fontId="9" fillId="0" borderId="4" xfId="0" applyFont="1" applyBorder="1"/>
    <xf numFmtId="167" fontId="10" fillId="0" borderId="0" xfId="0" applyNumberFormat="1" applyFont="1"/>
    <xf numFmtId="0" fontId="6" fillId="0" borderId="0" xfId="1" applyFont="1" applyFill="1"/>
    <xf numFmtId="0" fontId="18" fillId="0" borderId="1" xfId="0" applyFont="1" applyBorder="1" applyAlignment="1">
      <alignment horizontal="left" vertical="center"/>
    </xf>
    <xf numFmtId="49" fontId="8" fillId="0" borderId="0" xfId="0" applyNumberFormat="1" applyFont="1" applyAlignment="1">
      <alignment vertical="top" wrapText="1"/>
    </xf>
    <xf numFmtId="0" fontId="9" fillId="0" borderId="1" xfId="0" applyFont="1" applyBorder="1"/>
    <xf numFmtId="0" fontId="21" fillId="0" borderId="0" xfId="0" applyFont="1"/>
    <xf numFmtId="0" fontId="17" fillId="0" borderId="0" xfId="0" applyFont="1"/>
    <xf numFmtId="0" fontId="20" fillId="0" borderId="0" xfId="0" applyFont="1"/>
    <xf numFmtId="49" fontId="22" fillId="0" borderId="2" xfId="0" applyNumberFormat="1" applyFont="1" applyBorder="1" applyAlignment="1">
      <alignment vertical="top" wrapText="1"/>
    </xf>
    <xf numFmtId="0" fontId="18" fillId="0" borderId="4" xfId="0" applyFont="1" applyBorder="1"/>
    <xf numFmtId="49" fontId="22" fillId="0" borderId="0" xfId="0" applyNumberFormat="1" applyFont="1" applyAlignment="1">
      <alignment vertical="top" wrapText="1"/>
    </xf>
    <xf numFmtId="49" fontId="9" fillId="0" borderId="1" xfId="0" applyNumberFormat="1" applyFont="1" applyBorder="1" applyAlignment="1">
      <alignment vertical="top" wrapText="1"/>
    </xf>
    <xf numFmtId="0" fontId="9" fillId="0" borderId="6" xfId="0" applyFont="1" applyBorder="1"/>
    <xf numFmtId="49" fontId="8" fillId="0" borderId="2" xfId="0" applyNumberFormat="1" applyFont="1" applyBorder="1" applyAlignment="1">
      <alignment vertical="top" wrapText="1"/>
    </xf>
    <xf numFmtId="49" fontId="23" fillId="0" borderId="1" xfId="0" applyNumberFormat="1" applyFont="1" applyBorder="1" applyAlignment="1">
      <alignment horizontal="left" vertical="top" wrapText="1"/>
    </xf>
    <xf numFmtId="49" fontId="23" fillId="0" borderId="0" xfId="0" applyNumberFormat="1" applyFont="1" applyAlignment="1">
      <alignment horizontal="left" vertical="top" wrapText="1"/>
    </xf>
    <xf numFmtId="0" fontId="22" fillId="0" borderId="0" xfId="3" applyFont="1" applyAlignment="1">
      <alignment wrapText="1"/>
    </xf>
    <xf numFmtId="0" fontId="9" fillId="0" borderId="1" xfId="3" applyFont="1" applyBorder="1" applyAlignment="1">
      <alignment wrapText="1"/>
    </xf>
    <xf numFmtId="0" fontId="14" fillId="0" borderId="0" xfId="3" applyFont="1" applyAlignment="1">
      <alignment wrapText="1"/>
    </xf>
    <xf numFmtId="0" fontId="15" fillId="0" borderId="0" xfId="3" applyFont="1" applyAlignment="1">
      <alignment wrapText="1"/>
    </xf>
    <xf numFmtId="0" fontId="5" fillId="0" borderId="0" xfId="0" applyFont="1"/>
    <xf numFmtId="0" fontId="24" fillId="0" borderId="0" xfId="1" applyFont="1"/>
    <xf numFmtId="0" fontId="25" fillId="0" borderId="0" xfId="0" applyFont="1"/>
    <xf numFmtId="0" fontId="26" fillId="0" borderId="0" xfId="0" applyFont="1" applyAlignment="1">
      <alignment horizontal="left" vertical="center"/>
    </xf>
    <xf numFmtId="0" fontId="29" fillId="2" borderId="0" xfId="1" applyFont="1" applyFill="1" applyBorder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1" fillId="2" borderId="0" xfId="1" applyFont="1" applyFill="1" applyBorder="1" applyAlignment="1">
      <alignment horizontal="right" vertical="center"/>
    </xf>
    <xf numFmtId="0" fontId="28" fillId="0" borderId="0" xfId="0" applyFont="1"/>
    <xf numFmtId="167" fontId="9" fillId="0" borderId="4" xfId="0" applyNumberFormat="1" applyFont="1" applyBorder="1"/>
    <xf numFmtId="0" fontId="10" fillId="0" borderId="0" xfId="0" applyFont="1" applyAlignment="1">
      <alignment horizontal="left" indent="1"/>
    </xf>
    <xf numFmtId="165" fontId="7" fillId="0" borderId="0" xfId="2" applyNumberFormat="1" applyFont="1" applyFill="1"/>
    <xf numFmtId="167" fontId="7" fillId="0" borderId="0" xfId="2" applyNumberFormat="1" applyFont="1" applyFill="1"/>
    <xf numFmtId="167" fontId="8" fillId="0" borderId="0" xfId="2" applyNumberFormat="1" applyFont="1" applyFill="1"/>
    <xf numFmtId="167" fontId="7" fillId="0" borderId="2" xfId="2" applyNumberFormat="1" applyFont="1" applyBorder="1" applyAlignment="1">
      <alignment horizontal="right" vertical="center"/>
    </xf>
    <xf numFmtId="0" fontId="13" fillId="0" borderId="0" xfId="2" applyFont="1"/>
    <xf numFmtId="0" fontId="34" fillId="0" borderId="0" xfId="1" applyFont="1"/>
    <xf numFmtId="165" fontId="10" fillId="0" borderId="0" xfId="0" applyNumberFormat="1" applyFont="1"/>
    <xf numFmtId="2" fontId="10" fillId="0" borderId="0" xfId="0" applyNumberFormat="1" applyFont="1"/>
    <xf numFmtId="1" fontId="10" fillId="0" borderId="0" xfId="0" applyNumberFormat="1" applyFont="1"/>
    <xf numFmtId="0" fontId="19" fillId="0" borderId="0" xfId="0" applyFont="1"/>
    <xf numFmtId="0" fontId="17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7" fontId="17" fillId="0" borderId="0" xfId="0" applyNumberFormat="1" applyFont="1"/>
    <xf numFmtId="167" fontId="9" fillId="0" borderId="1" xfId="0" applyNumberFormat="1" applyFont="1" applyBorder="1"/>
    <xf numFmtId="167" fontId="35" fillId="0" borderId="4" xfId="0" applyNumberFormat="1" applyFont="1" applyBorder="1"/>
    <xf numFmtId="167" fontId="10" fillId="0" borderId="4" xfId="0" applyNumberFormat="1" applyFont="1" applyBorder="1"/>
    <xf numFmtId="167" fontId="10" fillId="0" borderId="2" xfId="0" applyNumberFormat="1" applyFont="1" applyBorder="1"/>
    <xf numFmtId="167" fontId="10" fillId="0" borderId="5" xfId="0" applyNumberFormat="1" applyFont="1" applyBorder="1"/>
    <xf numFmtId="0" fontId="10" fillId="0" borderId="0" xfId="0" quotePrefix="1" applyFont="1"/>
    <xf numFmtId="0" fontId="10" fillId="0" borderId="4" xfId="0" applyFont="1" applyBorder="1"/>
    <xf numFmtId="167" fontId="17" fillId="0" borderId="0" xfId="0" quotePrefix="1" applyNumberFormat="1" applyFont="1"/>
    <xf numFmtId="167" fontId="10" fillId="0" borderId="0" xfId="0" quotePrefix="1" applyNumberFormat="1" applyFont="1"/>
    <xf numFmtId="167" fontId="9" fillId="0" borderId="4" xfId="0" quotePrefix="1" applyNumberFormat="1" applyFont="1" applyBorder="1"/>
    <xf numFmtId="3" fontId="10" fillId="0" borderId="4" xfId="0" applyNumberFormat="1" applyFont="1" applyBorder="1"/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/>
    <xf numFmtId="0" fontId="17" fillId="0" borderId="4" xfId="0" quotePrefix="1" applyFont="1" applyBorder="1"/>
    <xf numFmtId="14" fontId="17" fillId="0" borderId="1" xfId="0" applyNumberFormat="1" applyFont="1" applyBorder="1" applyAlignment="1">
      <alignment horizontal="center"/>
    </xf>
    <xf numFmtId="14" fontId="17" fillId="0" borderId="4" xfId="0" applyNumberFormat="1" applyFont="1" applyBorder="1"/>
    <xf numFmtId="167" fontId="16" fillId="0" borderId="0" xfId="0" applyNumberFormat="1" applyFont="1"/>
    <xf numFmtId="167" fontId="10" fillId="0" borderId="6" xfId="0" applyNumberFormat="1" applyFont="1" applyBorder="1"/>
    <xf numFmtId="0" fontId="10" fillId="0" borderId="5" xfId="0" applyFont="1" applyBorder="1"/>
    <xf numFmtId="167" fontId="10" fillId="0" borderId="0" xfId="0" applyNumberFormat="1" applyFont="1" applyFill="1"/>
    <xf numFmtId="167" fontId="17" fillId="0" borderId="2" xfId="0" applyNumberFormat="1" applyFont="1" applyBorder="1"/>
    <xf numFmtId="3" fontId="35" fillId="0" borderId="4" xfId="0" applyNumberFormat="1" applyFont="1" applyBorder="1"/>
    <xf numFmtId="167" fontId="18" fillId="0" borderId="0" xfId="0" applyNumberFormat="1" applyFont="1"/>
    <xf numFmtId="0" fontId="18" fillId="0" borderId="0" xfId="0" applyFont="1" applyAlignment="1">
      <alignment horizontal="left" indent="1"/>
    </xf>
    <xf numFmtId="167" fontId="10" fillId="0" borderId="0" xfId="0" applyNumberFormat="1" applyFont="1" applyAlignment="1">
      <alignment horizontal="right"/>
    </xf>
    <xf numFmtId="167" fontId="17" fillId="0" borderId="1" xfId="0" applyNumberFormat="1" applyFont="1" applyBorder="1"/>
    <xf numFmtId="167" fontId="17" fillId="0" borderId="4" xfId="0" applyNumberFormat="1" applyFont="1" applyBorder="1"/>
    <xf numFmtId="4" fontId="11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3" fontId="10" fillId="0" borderId="0" xfId="0" applyNumberFormat="1" applyFont="1"/>
    <xf numFmtId="4" fontId="10" fillId="0" borderId="0" xfId="0" applyNumberFormat="1" applyFont="1"/>
    <xf numFmtId="167" fontId="10" fillId="0" borderId="0" xfId="0" applyNumberFormat="1" applyFont="1" applyAlignment="1">
      <alignment horizontal="right" vertical="center"/>
    </xf>
    <xf numFmtId="167" fontId="7" fillId="0" borderId="2" xfId="2" applyNumberFormat="1" applyFont="1" applyBorder="1"/>
    <xf numFmtId="0" fontId="3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6" fillId="3" borderId="12" xfId="5" applyFont="1" applyFill="1" applyBorder="1" applyAlignment="1">
      <alignment horizontal="center" vertical="center" wrapText="1"/>
    </xf>
    <xf numFmtId="3" fontId="36" fillId="3" borderId="12" xfId="5" applyNumberFormat="1" applyFont="1" applyFill="1" applyBorder="1" applyAlignment="1">
      <alignment horizontal="center" vertical="center" wrapText="1"/>
    </xf>
    <xf numFmtId="0" fontId="36" fillId="3" borderId="12" xfId="6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left" vertical="center" wrapText="1"/>
    </xf>
    <xf numFmtId="3" fontId="36" fillId="3" borderId="12" xfId="5" applyNumberFormat="1" applyFont="1" applyFill="1" applyBorder="1" applyAlignment="1">
      <alignment horizontal="right" vertical="center" wrapText="1"/>
    </xf>
    <xf numFmtId="0" fontId="38" fillId="3" borderId="12" xfId="6" applyFont="1" applyFill="1" applyBorder="1" applyAlignment="1">
      <alignment horizontal="center" vertical="center" wrapText="1"/>
    </xf>
    <xf numFmtId="0" fontId="39" fillId="0" borderId="12" xfId="7" applyFont="1" applyBorder="1" applyAlignment="1">
      <alignment horizontal="center" vertical="center" wrapText="1"/>
    </xf>
    <xf numFmtId="0" fontId="39" fillId="0" borderId="12" xfId="7" applyFont="1" applyBorder="1" applyAlignment="1">
      <alignment horizontal="left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3" fontId="39" fillId="0" borderId="12" xfId="7" applyNumberFormat="1" applyFont="1" applyBorder="1" applyAlignment="1">
      <alignment horizontal="center" vertical="center" wrapText="1"/>
    </xf>
    <xf numFmtId="170" fontId="39" fillId="0" borderId="12" xfId="7" applyNumberFormat="1" applyFont="1" applyBorder="1" applyAlignment="1">
      <alignment horizontal="center" vertical="center" wrapText="1"/>
    </xf>
    <xf numFmtId="171" fontId="39" fillId="0" borderId="12" xfId="12" applyNumberFormat="1" applyFont="1" applyFill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/>
    </xf>
    <xf numFmtId="172" fontId="39" fillId="0" borderId="12" xfId="7" applyNumberFormat="1" applyFont="1" applyBorder="1" applyAlignment="1">
      <alignment horizontal="center" vertical="center" wrapText="1"/>
    </xf>
    <xf numFmtId="3" fontId="40" fillId="0" borderId="12" xfId="7" applyNumberFormat="1" applyFont="1" applyBorder="1" applyAlignment="1">
      <alignment horizontal="right" vertical="center" wrapText="1"/>
    </xf>
    <xf numFmtId="0" fontId="39" fillId="0" borderId="0" xfId="0" applyFont="1" applyAlignment="1">
      <alignment vertical="center"/>
    </xf>
    <xf numFmtId="0" fontId="39" fillId="0" borderId="0" xfId="0" applyFont="1" applyAlignment="1">
      <alignment vertical="center" wrapText="1"/>
    </xf>
    <xf numFmtId="169" fontId="41" fillId="4" borderId="12" xfId="7" applyNumberFormat="1" applyFont="1" applyFill="1" applyBorder="1" applyAlignment="1">
      <alignment horizontal="center" vertical="center"/>
    </xf>
    <xf numFmtId="0" fontId="41" fillId="4" borderId="12" xfId="7" applyFont="1" applyFill="1" applyBorder="1" applyAlignment="1">
      <alignment horizontal="left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41" fillId="4" borderId="12" xfId="7" applyNumberFormat="1" applyFont="1" applyFill="1" applyBorder="1" applyAlignment="1">
      <alignment horizontal="center" vertical="center"/>
    </xf>
    <xf numFmtId="3" fontId="42" fillId="4" borderId="12" xfId="7" applyNumberFormat="1" applyFont="1" applyFill="1" applyBorder="1" applyAlignment="1">
      <alignment horizontal="right" vertical="center"/>
    </xf>
    <xf numFmtId="3" fontId="39" fillId="0" borderId="12" xfId="7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 vertical="center" wrapText="1"/>
    </xf>
    <xf numFmtId="3" fontId="37" fillId="0" borderId="0" xfId="0" applyNumberFormat="1" applyFont="1" applyAlignment="1">
      <alignment horizontal="right" vertical="center" wrapText="1"/>
    </xf>
    <xf numFmtId="3" fontId="37" fillId="0" borderId="0" xfId="0" applyNumberFormat="1" applyFont="1" applyAlignment="1">
      <alignment vertical="center" wrapText="1"/>
    </xf>
    <xf numFmtId="0" fontId="43" fillId="0" borderId="0" xfId="0" applyFont="1" applyAlignment="1">
      <alignment vertical="center"/>
    </xf>
    <xf numFmtId="0" fontId="36" fillId="3" borderId="13" xfId="5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horizontal="center" vertical="center" wrapText="1"/>
    </xf>
    <xf numFmtId="0" fontId="36" fillId="3" borderId="12" xfId="9" applyFont="1" applyFill="1" applyBorder="1" applyAlignment="1">
      <alignment horizontal="center" vertical="center" wrapText="1"/>
    </xf>
    <xf numFmtId="0" fontId="37" fillId="0" borderId="0" xfId="0" applyFont="1"/>
    <xf numFmtId="0" fontId="43" fillId="0" borderId="0" xfId="0" applyFont="1" applyAlignment="1">
      <alignment vertical="center" wrapText="1"/>
    </xf>
    <xf numFmtId="3" fontId="39" fillId="0" borderId="0" xfId="0" applyNumberFormat="1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36" fillId="3" borderId="13" xfId="6" applyFont="1" applyFill="1" applyBorder="1" applyAlignment="1">
      <alignment horizontal="center" vertical="center" wrapText="1"/>
    </xf>
    <xf numFmtId="0" fontId="36" fillId="3" borderId="13" xfId="5" applyFont="1" applyFill="1" applyBorder="1" applyAlignment="1">
      <alignment horizontal="left" vertical="center" wrapText="1"/>
    </xf>
    <xf numFmtId="0" fontId="39" fillId="0" borderId="11" xfId="7" applyFont="1" applyBorder="1" applyAlignment="1">
      <alignment horizontal="center" vertical="center" wrapText="1"/>
    </xf>
    <xf numFmtId="3" fontId="45" fillId="0" borderId="0" xfId="0" applyNumberFormat="1" applyFont="1" applyAlignment="1">
      <alignment vertical="center" wrapText="1"/>
    </xf>
    <xf numFmtId="9" fontId="45" fillId="0" borderId="0" xfId="12" applyFont="1" applyAlignment="1">
      <alignment vertical="center" wrapText="1"/>
    </xf>
    <xf numFmtId="173" fontId="39" fillId="0" borderId="12" xfId="7" applyNumberFormat="1" applyFont="1" applyBorder="1" applyAlignment="1">
      <alignment horizontal="center" vertical="center" wrapText="1"/>
    </xf>
    <xf numFmtId="9" fontId="37" fillId="0" borderId="0" xfId="12" applyFont="1" applyAlignment="1">
      <alignment vertical="center" wrapText="1"/>
    </xf>
    <xf numFmtId="3" fontId="37" fillId="0" borderId="0" xfId="0" applyNumberFormat="1" applyFont="1"/>
    <xf numFmtId="0" fontId="41" fillId="4" borderId="12" xfId="7" applyFont="1" applyFill="1" applyBorder="1" applyAlignment="1">
      <alignment horizontal="left" vertical="center" wrapText="1"/>
    </xf>
    <xf numFmtId="3" fontId="41" fillId="4" borderId="12" xfId="7" applyNumberFormat="1" applyFont="1" applyFill="1" applyBorder="1" applyAlignment="1">
      <alignment horizontal="right" vertical="center" wrapText="1"/>
    </xf>
    <xf numFmtId="171" fontId="45" fillId="0" borderId="0" xfId="12" applyNumberFormat="1" applyFont="1" applyAlignment="1">
      <alignment vertical="center" wrapText="1"/>
    </xf>
    <xf numFmtId="0" fontId="44" fillId="0" borderId="12" xfId="7" applyFont="1" applyBorder="1" applyAlignment="1">
      <alignment horizontal="center" vertical="center" wrapText="1"/>
    </xf>
    <xf numFmtId="0" fontId="46" fillId="0" borderId="12" xfId="7" applyFont="1" applyBorder="1" applyAlignment="1">
      <alignment horizontal="left" vertical="center" wrapText="1"/>
    </xf>
    <xf numFmtId="3" fontId="44" fillId="0" borderId="12" xfId="7" applyNumberFormat="1" applyFont="1" applyBorder="1" applyAlignment="1">
      <alignment horizontal="right" vertical="center" wrapText="1"/>
    </xf>
    <xf numFmtId="0" fontId="36" fillId="3" borderId="12" xfId="9" applyFont="1" applyFill="1" applyBorder="1" applyAlignment="1">
      <alignment horizontal="left" vertical="center"/>
    </xf>
    <xf numFmtId="0" fontId="46" fillId="4" borderId="12" xfId="7" applyFont="1" applyFill="1" applyBorder="1" applyAlignment="1">
      <alignment horizontal="left" vertical="center" wrapText="1"/>
    </xf>
    <xf numFmtId="0" fontId="46" fillId="4" borderId="12" xfId="7" applyFont="1" applyFill="1" applyBorder="1" applyAlignment="1">
      <alignment horizontal="left" vertical="center"/>
    </xf>
    <xf numFmtId="169" fontId="46" fillId="4" borderId="12" xfId="7" applyNumberFormat="1" applyFont="1" applyFill="1" applyBorder="1" applyAlignment="1">
      <alignment horizontal="center" vertical="center"/>
    </xf>
    <xf numFmtId="3" fontId="46" fillId="4" borderId="12" xfId="7" applyNumberFormat="1" applyFont="1" applyFill="1" applyBorder="1" applyAlignment="1">
      <alignment horizontal="right" vertical="center" wrapText="1"/>
    </xf>
    <xf numFmtId="0" fontId="7" fillId="0" borderId="3" xfId="2" applyFont="1" applyBorder="1" applyAlignment="1">
      <alignment horizontal="left" indent="1"/>
    </xf>
    <xf numFmtId="0" fontId="36" fillId="3" borderId="11" xfId="6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 wrapText="1"/>
    </xf>
    <xf numFmtId="0" fontId="39" fillId="0" borderId="0" xfId="0" applyFont="1" applyFill="1" applyAlignment="1">
      <alignment vertical="center" wrapText="1"/>
    </xf>
    <xf numFmtId="0" fontId="36" fillId="0" borderId="11" xfId="6" applyFont="1" applyFill="1" applyBorder="1" applyAlignment="1">
      <alignment horizontal="center" vertical="center" wrapText="1"/>
    </xf>
    <xf numFmtId="0" fontId="36" fillId="0" borderId="11" xfId="5" applyFont="1" applyFill="1" applyBorder="1" applyAlignment="1">
      <alignment horizontal="center" vertical="center" wrapText="1"/>
    </xf>
    <xf numFmtId="0" fontId="36" fillId="0" borderId="12" xfId="5" applyFont="1" applyFill="1" applyBorder="1" applyAlignment="1">
      <alignment horizontal="center" vertical="center" wrapText="1"/>
    </xf>
    <xf numFmtId="3" fontId="36" fillId="0" borderId="12" xfId="5" applyNumberFormat="1" applyFont="1" applyFill="1" applyBorder="1" applyAlignment="1">
      <alignment horizontal="right" vertical="center" wrapText="1"/>
    </xf>
    <xf numFmtId="0" fontId="45" fillId="0" borderId="11" xfId="6" applyFont="1" applyFill="1" applyBorder="1" applyAlignment="1">
      <alignment horizontal="center" vertical="center" wrapText="1"/>
    </xf>
    <xf numFmtId="0" fontId="38" fillId="0" borderId="12" xfId="6" applyFont="1" applyFill="1" applyBorder="1" applyAlignment="1">
      <alignment horizontal="center" vertical="center" wrapText="1"/>
    </xf>
    <xf numFmtId="0" fontId="0" fillId="0" borderId="0" xfId="0" applyFill="1"/>
    <xf numFmtId="3" fontId="39" fillId="0" borderId="12" xfId="7" applyNumberFormat="1" applyFont="1" applyFill="1" applyBorder="1" applyAlignment="1">
      <alignment horizontal="center" vertical="center" wrapText="1"/>
    </xf>
    <xf numFmtId="170" fontId="39" fillId="0" borderId="12" xfId="7" applyNumberFormat="1" applyFont="1" applyFill="1" applyBorder="1" applyAlignment="1">
      <alignment horizontal="center" vertical="center" wrapText="1"/>
    </xf>
    <xf numFmtId="3" fontId="39" fillId="0" borderId="12" xfId="7" applyNumberFormat="1" applyFont="1" applyFill="1" applyBorder="1" applyAlignment="1">
      <alignment horizontal="right" vertical="center"/>
    </xf>
    <xf numFmtId="172" fontId="39" fillId="0" borderId="12" xfId="8" applyNumberFormat="1" applyFont="1" applyFill="1" applyBorder="1" applyAlignment="1">
      <alignment horizontal="center" vertical="center" wrapText="1"/>
    </xf>
    <xf numFmtId="0" fontId="39" fillId="0" borderId="12" xfId="7" applyFont="1" applyFill="1" applyBorder="1" applyAlignment="1">
      <alignment horizontal="center" vertical="center" wrapText="1"/>
    </xf>
    <xf numFmtId="3" fontId="40" fillId="0" borderId="12" xfId="7" applyNumberFormat="1" applyFont="1" applyFill="1" applyBorder="1" applyAlignment="1">
      <alignment horizontal="right" vertical="center" wrapText="1"/>
    </xf>
    <xf numFmtId="172" fontId="39" fillId="0" borderId="12" xfId="7" applyNumberFormat="1" applyFont="1" applyFill="1" applyBorder="1" applyAlignment="1">
      <alignment horizontal="center" vertical="center" wrapText="1"/>
    </xf>
    <xf numFmtId="3" fontId="41" fillId="0" borderId="12" xfId="7" applyNumberFormat="1" applyFont="1" applyFill="1" applyBorder="1" applyAlignment="1">
      <alignment horizontal="right" vertical="center"/>
    </xf>
    <xf numFmtId="169" fontId="41" fillId="0" borderId="12" xfId="7" applyNumberFormat="1" applyFont="1" applyFill="1" applyBorder="1" applyAlignment="1">
      <alignment horizontal="center" vertical="center"/>
    </xf>
    <xf numFmtId="3" fontId="41" fillId="0" borderId="12" xfId="7" applyNumberFormat="1" applyFont="1" applyFill="1" applyBorder="1" applyAlignment="1">
      <alignment horizontal="center" vertical="center"/>
    </xf>
    <xf numFmtId="3" fontId="42" fillId="0" borderId="12" xfId="7" applyNumberFormat="1" applyFont="1" applyFill="1" applyBorder="1" applyAlignment="1">
      <alignment horizontal="right" vertical="center"/>
    </xf>
    <xf numFmtId="3" fontId="39" fillId="5" borderId="12" xfId="7" applyNumberFormat="1" applyFont="1" applyFill="1" applyBorder="1" applyAlignment="1">
      <alignment horizontal="center" vertical="center" wrapText="1"/>
    </xf>
    <xf numFmtId="3" fontId="37" fillId="0" borderId="0" xfId="0" applyNumberFormat="1" applyFont="1" applyFill="1" applyAlignment="1">
      <alignment horizontal="right" vertical="center" wrapText="1"/>
    </xf>
    <xf numFmtId="3" fontId="37" fillId="0" borderId="0" xfId="0" applyNumberFormat="1" applyFont="1" applyFill="1" applyAlignment="1">
      <alignment vertical="center" wrapText="1"/>
    </xf>
    <xf numFmtId="0" fontId="43" fillId="0" borderId="0" xfId="0" applyFont="1" applyFill="1" applyAlignment="1">
      <alignment vertical="center"/>
    </xf>
    <xf numFmtId="0" fontId="36" fillId="0" borderId="11" xfId="6" applyFont="1" applyFill="1" applyBorder="1" applyAlignment="1">
      <alignment horizontal="center" vertical="center"/>
    </xf>
    <xf numFmtId="0" fontId="38" fillId="0" borderId="12" xfId="6" applyFont="1" applyFill="1" applyBorder="1" applyAlignment="1">
      <alignment horizontal="center" vertical="center"/>
    </xf>
    <xf numFmtId="0" fontId="43" fillId="0" borderId="0" xfId="0" applyFont="1" applyFill="1" applyAlignment="1">
      <alignment vertical="center" wrapText="1"/>
    </xf>
    <xf numFmtId="172" fontId="39" fillId="0" borderId="12" xfId="7" applyNumberFormat="1" applyFont="1" applyFill="1" applyBorder="1" applyAlignment="1">
      <alignment horizontal="center" vertical="center"/>
    </xf>
    <xf numFmtId="3" fontId="40" fillId="0" borderId="12" xfId="7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6" fillId="0" borderId="13" xfId="6" applyFont="1" applyFill="1" applyBorder="1" applyAlignment="1">
      <alignment horizontal="center" vertical="center" wrapText="1"/>
    </xf>
    <xf numFmtId="0" fontId="36" fillId="0" borderId="13" xfId="5" applyFont="1" applyFill="1" applyBorder="1" applyAlignment="1">
      <alignment horizontal="center" vertical="center" wrapText="1"/>
    </xf>
    <xf numFmtId="0" fontId="39" fillId="0" borderId="12" xfId="7" applyFont="1" applyFill="1" applyBorder="1" applyAlignment="1">
      <alignment horizontal="center" vertical="center"/>
    </xf>
    <xf numFmtId="0" fontId="37" fillId="0" borderId="0" xfId="0" applyFont="1" applyFill="1"/>
    <xf numFmtId="0" fontId="0" fillId="0" borderId="0" xfId="0" applyFill="1" applyAlignment="1">
      <alignment vertical="center"/>
    </xf>
    <xf numFmtId="170" fontId="7" fillId="0" borderId="0" xfId="2" applyNumberFormat="1" applyFont="1"/>
    <xf numFmtId="173" fontId="7" fillId="0" borderId="0" xfId="2" applyNumberFormat="1" applyFont="1"/>
    <xf numFmtId="3" fontId="36" fillId="3" borderId="8" xfId="6" applyNumberFormat="1" applyFont="1" applyFill="1" applyBorder="1" applyAlignment="1">
      <alignment horizontal="center" vertical="center" wrapText="1"/>
    </xf>
    <xf numFmtId="3" fontId="36" fillId="3" borderId="9" xfId="6" applyNumberFormat="1" applyFont="1" applyFill="1" applyBorder="1" applyAlignment="1">
      <alignment horizontal="center" vertical="center" wrapText="1"/>
    </xf>
    <xf numFmtId="3" fontId="36" fillId="3" borderId="10" xfId="6" applyNumberFormat="1" applyFont="1" applyFill="1" applyBorder="1" applyAlignment="1">
      <alignment horizontal="center" vertical="center" wrapText="1"/>
    </xf>
    <xf numFmtId="0" fontId="36" fillId="3" borderId="7" xfId="6" applyFont="1" applyFill="1" applyBorder="1" applyAlignment="1">
      <alignment horizontal="center" vertical="center" wrapText="1"/>
    </xf>
    <xf numFmtId="0" fontId="36" fillId="3" borderId="11" xfId="6" applyFont="1" applyFill="1" applyBorder="1" applyAlignment="1">
      <alignment horizontal="center" vertical="center" wrapText="1"/>
    </xf>
    <xf numFmtId="0" fontId="36" fillId="3" borderId="8" xfId="5" applyFont="1" applyFill="1" applyBorder="1" applyAlignment="1">
      <alignment horizontal="center" vertical="center"/>
    </xf>
    <xf numFmtId="0" fontId="36" fillId="3" borderId="9" xfId="5" applyFont="1" applyFill="1" applyBorder="1" applyAlignment="1">
      <alignment horizontal="center" vertical="center"/>
    </xf>
    <xf numFmtId="0" fontId="36" fillId="3" borderId="10" xfId="5" applyFont="1" applyFill="1" applyBorder="1" applyAlignment="1">
      <alignment horizontal="center" vertical="center"/>
    </xf>
    <xf numFmtId="0" fontId="36" fillId="3" borderId="7" xfId="5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center" vertical="center" wrapText="1"/>
    </xf>
    <xf numFmtId="0" fontId="36" fillId="3" borderId="8" xfId="5" applyFont="1" applyFill="1" applyBorder="1" applyAlignment="1">
      <alignment horizontal="center" vertical="center" wrapText="1"/>
    </xf>
    <xf numFmtId="0" fontId="36" fillId="3" borderId="9" xfId="5" applyFont="1" applyFill="1" applyBorder="1" applyAlignment="1">
      <alignment horizontal="center" vertical="center" wrapText="1"/>
    </xf>
    <xf numFmtId="0" fontId="36" fillId="3" borderId="10" xfId="5" applyFont="1" applyFill="1" applyBorder="1" applyAlignment="1">
      <alignment horizontal="center" vertical="center" wrapText="1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400440</xdr:colOff>
      <xdr:row>2</xdr:row>
      <xdr:rowOff>85725</xdr:rowOff>
    </xdr:from>
    <xdr:to>
      <xdr:col>1</xdr:col>
      <xdr:colOff>2312906</xdr:colOff>
      <xdr:row>6</xdr:row>
      <xdr:rowOff>119133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287DC1E1-DEF8-4C2B-9745-E93E3A22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40" y="466725"/>
          <a:ext cx="2522066" cy="8430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F"/>
      <sheetName val="HC_ppt"/>
      <sheetName val="CSCCincSKR"/>
      <sheetName val="PFC-PYX1"/>
      <sheetName val="#ССЫЛКА"/>
      <sheetName val="17.Налог"/>
      <sheetName val="Main"/>
      <sheetName val="Списки"/>
      <sheetName val="current_balance"/>
      <sheetName val="Definitions"/>
      <sheetName val="REPORT"/>
      <sheetName val="SENSITIVITY"/>
      <sheetName val="Лист1"/>
      <sheetName val="фа"/>
      <sheetName val="фаOIBDA"/>
      <sheetName val="данные для графика"/>
      <sheetName val="Шаблоны"/>
      <sheetName val="Удм-3"/>
      <sheetName val="Удм-1"/>
      <sheetName val="Удм-2"/>
      <sheetName val="Ф-2 ЮССС"/>
      <sheetName val="Ф-1 ЮССС"/>
      <sheetName val="Ф.2"/>
      <sheetName val="Актив"/>
      <sheetName val="Бюджет"/>
      <sheetName val="PNL"/>
      <sheetName val="Структура расходов"/>
      <sheetName val="ф.29мес."/>
      <sheetName val="InpC"/>
      <sheetName val="Gen"/>
      <sheetName val="&lt;&lt;&lt;EXHIBITS&gt;&gt;&gt;"/>
      <sheetName val="CREDIT STATS"/>
      <sheetName val="Список"/>
      <sheetName val="RSOILBAL"/>
      <sheetName val="Lib"/>
      <sheetName val="Service"/>
      <sheetName val="Лист2"/>
      <sheetName val="Статьи затрат и ЦФО"/>
      <sheetName val="Расчет VAS (руб.)"/>
      <sheetName val="Справочник"/>
      <sheetName val="БК"/>
      <sheetName val="макропараметры"/>
      <sheetName val="Mapping"/>
      <sheetName val="INPUT EXPENSES"/>
      <sheetName val="Assum"/>
      <sheetName val="Таблица"/>
      <sheetName val="Настройка"/>
      <sheetName val="Lists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Графики"/>
      <sheetName val="Коды"/>
      <sheetName val="Контрагенты"/>
      <sheetName val="Статьи ДДС 2017"/>
      <sheetName val="Brif_zdanie"/>
      <sheetName val="List"/>
      <sheetName val="Dropdown list"/>
      <sheetName val="вид"/>
      <sheetName val="Прайс Лист"/>
      <sheetName val="проект - отдел"/>
      <sheetName val="инфо"/>
      <sheetName val="Лист6"/>
      <sheetName val="Списки_и_цели"/>
      <sheetName val="Описание_полей_и_показателей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ИСХОДНИК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организации"/>
      <sheetName val="база"/>
      <sheetName val="Titles"/>
      <sheetName val="Filters"/>
      <sheetName val="Dashboard"/>
      <sheetName val="Tech"/>
      <sheetName val="Source"/>
      <sheetName val="Serv"/>
      <sheetName val="Проекты"/>
      <sheetName val="DIN"/>
      <sheetName val="статьи"/>
      <sheetName val="Контрагент_1"/>
      <sheetName val="Sheet2"/>
      <sheetName val="Квартал"/>
      <sheetName val="Свод"/>
      <sheetName val="DLL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ЦФО_New"/>
      <sheetName val="Спр"/>
      <sheetName val="перечень статей затрат PNL"/>
      <sheetName val="ЦФО"/>
      <sheetName val="Справочник БКВ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Справочник статей БУ "/>
      <sheetName val="MPP"/>
      <sheetName val="ГК Элемент (ВГО)"/>
      <sheetName val="Курс валют на___"/>
      <sheetName val="ТехДанные"/>
      <sheetName val="ppt"/>
      <sheetName val="BS PR"/>
      <sheetName val="Лимиты"/>
      <sheetName val="Библиотека"/>
      <sheetName val="Питер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Рук-ство по зап-ю"/>
      <sheetName val="KEY"/>
      <sheetName val="МСФО_счета"/>
      <sheetName val="1999"/>
      <sheetName val="sample"/>
      <sheetName val="CAPEX new"/>
      <sheetName val="Library"/>
      <sheetName val="Accounts DATA"/>
      <sheetName val="5.Справочники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Справочник(тех)"/>
      <sheetName val="Лист"/>
      <sheetName val="СписокКомпаний"/>
      <sheetName val="Sheet3"/>
      <sheetName val="DB"/>
      <sheetName val="TDSheet"/>
      <sheetName val="НС_3"/>
      <sheetName val="Товарооборот 2021"/>
      <sheetName val="Справочник люди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Модели_ЦСП_обор"/>
      <sheetName val="ТПС"/>
      <sheetName val="3P_FA"/>
      <sheetName val="5. СПРАВОЧНИКИ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  <sheetName val="Debt"/>
      <sheetName val="Магазины"/>
      <sheetName val="Справочник клиентов"/>
      <sheetName val="Справочник видов ГП"/>
      <sheetName val="Техн лист"/>
      <sheetName val="Справочник марок ППУ"/>
      <sheetName val="B03"/>
      <sheetName val="FitOutConfCentre"/>
      <sheetName val=" N Finansal Eğri"/>
      <sheetName val="Доходы"/>
      <sheetName val="проверка данных"/>
      <sheetName val="Справочик техника"/>
      <sheetName val=""/>
      <sheetName val="Покупатели"/>
      <sheetName val="Conf"/>
      <sheetName val="вспомогательные таблицы"/>
      <sheetName val="спр_типы данных"/>
      <sheetName val="спр_валюты"/>
      <sheetName val="Круг 6 листов "/>
      <sheetName val="Массив_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  <sheetName val="Inputs"/>
      <sheetName val="OpCo DCF"/>
      <sheetName val="VCo Assumptions"/>
      <sheetName val="CoverPage"/>
      <sheetName val="Combined PL"/>
      <sheetName val="Definitions"/>
      <sheetName val="Haendel"/>
      <sheetName val="1.1"/>
      <sheetName val="Ежемесячный отчет"/>
      <sheetName val="Настройки"/>
      <sheetName val="RSOILBAL"/>
      <sheetName val="Set"/>
      <sheetName val="Настройка"/>
      <sheetName val="пу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  <sheetName val="1 секц полы старая"/>
      <sheetName val="1 секц полы консъерж"/>
      <sheetName val="1 секц отд консъерж"/>
      <sheetName val="2 секц полы старые"/>
      <sheetName val="гараж 4.4 техпом"/>
      <sheetName val="3 секц отд лестниц"/>
      <sheetName val="1 секц лестницы в гараж"/>
      <sheetName val="2 секц лестницы в гараже"/>
      <sheetName val="1 секц отд"/>
      <sheetName val="цоколь 4.1"/>
      <sheetName val="откосы доп"/>
      <sheetName val="объемы 2 сек"/>
      <sheetName val="гараж 4.4 отделка"/>
      <sheetName val="1.Список"/>
      <sheetName val="справочники"/>
      <sheetName val="КУРС"/>
      <sheetName val="Векселя"/>
      <sheetName val="Карта"/>
      <sheetName val="Касса"/>
      <sheetName val="Р_счет"/>
      <sheetName val="График_затрат_1_оч_6"/>
      <sheetName val="График_затрат_2_оч_6"/>
      <sheetName val="План_продаж6"/>
      <sheetName val="Модель_продаж6"/>
      <sheetName val="Сводная_ЛССМУ2"/>
      <sheetName val="мфтц,к_42"/>
      <sheetName val="HUD_YOLU_DUVAR_8_MT2"/>
      <sheetName val="finansal_tamamlanma_eğrisi2"/>
      <sheetName val="ELEC_F031-3(ANLZ)2"/>
      <sheetName val="cur_projects_pl2"/>
      <sheetName val="Breakdown_CAPEX_(PBC)2"/>
      <sheetName val="Отчет_о_реализации_площадей1"/>
      <sheetName val="C_1_D_1_РСП"/>
      <sheetName val="№1_Отчет_о_реализации_площадей"/>
      <sheetName val="oil_"/>
      <sheetName val="mobile_"/>
      <sheetName val="energy_"/>
      <sheetName val="metal_"/>
      <sheetName val="telecom_"/>
      <sheetName val="input_data"/>
      <sheetName val="1_1_Inputs"/>
      <sheetName val="2_1_СF_КП_базовая"/>
      <sheetName val="Master_Inputs_Start_Here"/>
      <sheetName val="сводная"/>
      <sheetName val="лссму"/>
      <sheetName val="Сроки"/>
      <sheetName val="Имя"/>
      <sheetName val="fitoutconfcentre"/>
      <sheetName val="cus_HK1033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  <sheetName val="РС котлован"/>
      <sheetName val="Данные по проекту"/>
      <sheetName val="Лист5"/>
      <sheetName val="Справочник Статей затрат"/>
      <sheetName val="график_затрат2"/>
      <sheetName val="План_продаж2"/>
      <sheetName val="Оплата_по_графикам2"/>
      <sheetName val="мфтц,к_42"/>
      <sheetName val="ТЭО_Гражданка_Сити10млн2"/>
      <sheetName val="Расчёт_20052"/>
      <sheetName val="спр_(2)2"/>
      <sheetName val="cur_projects_pl2"/>
      <sheetName val="input_data"/>
      <sheetName val="other_software_vcr"/>
      <sheetName val="сводная_лссму"/>
      <sheetName val="Сводный_лист"/>
      <sheetName val="Отчет_о_реализации_площадей"/>
      <sheetName val="смета_юшина"/>
      <sheetName val="кедровский"/>
      <sheetName val="Стоимости"/>
      <sheetName val="B03"/>
      <sheetName val="Breakdown CAPEX (PBC)"/>
      <sheetName val="Scenar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  <sheetName val="График_затрат2"/>
      <sheetName val="План_продаж2"/>
      <sheetName val="оплата_по_графикам2"/>
      <sheetName val="мфтц,к_42"/>
      <sheetName val="Справочник_ЦФО2"/>
      <sheetName val="cur_projects_pl2"/>
      <sheetName val="Сводная_ЛССМУ2"/>
      <sheetName val="№1_отчет_о_реализации_площадей2"/>
      <sheetName val="Расчёт_2005"/>
      <sheetName val="AOP_Summary-2"/>
      <sheetName val="fitoutconfcentre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  <sheetName val="Данные по проекту"/>
      <sheetName val="Лист5"/>
      <sheetName val="План_продаж2"/>
      <sheetName val="NPV_Chart2"/>
      <sheetName val="Затр_с_инфл_(с_инж)2"/>
      <sheetName val="cur_projects_pl2"/>
      <sheetName val="Сводная_ЛССМУ2"/>
      <sheetName val="Оплата_по_графикам2"/>
      <sheetName val="input_data2"/>
      <sheetName val="Breakdown_CAPEX_(PBC)2"/>
      <sheetName val="Investment_summary_Ricci1"/>
      <sheetName val="Итог_по_НПО_"/>
      <sheetName val="_n_finansal_eğri"/>
      <sheetName val="план_дск"/>
      <sheetName val="мфтц,к_4"/>
      <sheetName val="СПЧ-кредит_Альфабанк"/>
      <sheetName val="Расчёт_2005"/>
      <sheetName val="Справочники"/>
      <sheetName val="1.1 Inputs"/>
      <sheetName val="Cash2"/>
      <sheetName val="Z"/>
      <sheetName val="lob"/>
      <sheetName val="Отчет о реализации площадей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  <sheetName val="Земля"/>
      <sheetName val="Справочник Статей затрат"/>
      <sheetName val="Списки"/>
      <sheetName val="график_затрат2"/>
      <sheetName val="План_продаж2"/>
      <sheetName val="оплата_по_графикам2"/>
      <sheetName val="мфтц,к_42"/>
      <sheetName val="Сводная_ЛССМУ1"/>
      <sheetName val="cur_projects_pl2"/>
      <sheetName val="input_data2"/>
      <sheetName val="Breakdown_CAPEX_(PBC)1"/>
      <sheetName val="Отчет_о_реализации_площадей1"/>
      <sheetName val="C_1_D_1_РСП"/>
      <sheetName val="Расчёт_2005"/>
      <sheetName val="Сводный_лист"/>
      <sheetName val="Стоимости"/>
      <sheetName val=" n finansal eğri"/>
      <sheetName val="TABLO-3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  <sheetName val="статьи затрат"/>
      <sheetName val="текущие"/>
      <sheetName val="Земля"/>
      <sheetName val="Расчёт_20051"/>
      <sheetName val="Золотая_гавань1"/>
      <sheetName val="Гражданка-Сити_1_оч_1"/>
      <sheetName val="Гражданка-Сити_2_оч_1"/>
      <sheetName val="Гражданка-Сити_-_21"/>
      <sheetName val="Созвездие_1_оч_1"/>
      <sheetName val="Созвездие_2_оч_1"/>
      <sheetName val="Созвездие_3_оч_1"/>
      <sheetName val="Пр__затр__по_Созвездию-расчет1"/>
      <sheetName val="пр__Славы1"/>
      <sheetName val="Живой_Ручей1"/>
      <sheetName val="ул__Чекистов1"/>
      <sheetName val="Оплата_по_графикам1"/>
      <sheetName val="Сводная_ЛССМУ1"/>
      <sheetName val="cur_projects_pl1"/>
      <sheetName val="input_data1"/>
      <sheetName val="Адресная_программа_13_10_05"/>
      <sheetName val="Расчёт_20052"/>
      <sheetName val="Золотая_гавань2"/>
      <sheetName val="Гражданка-Сити_1_оч_2"/>
      <sheetName val="Гражданка-Сити_2_оч_2"/>
      <sheetName val="Гражданка-Сити_-_22"/>
      <sheetName val="Созвездие_1_оч_2"/>
      <sheetName val="Созвездие_2_оч_2"/>
      <sheetName val="Созвездие_3_оч_2"/>
      <sheetName val="Пр__затр__по_Созвездию-расчет2"/>
      <sheetName val="пр__Славы2"/>
      <sheetName val="Живой_Ручей2"/>
      <sheetName val="ул__Чекистов2"/>
      <sheetName val="Оплата_по_графикам2"/>
      <sheetName val="Сводная_ЛССМУ2"/>
      <sheetName val="cur_projects_pl2"/>
      <sheetName val="input_data2"/>
      <sheetName val="Адресная_программа_13_10_051"/>
      <sheetName val="AOP_Summary-2"/>
      <sheetName val="Документы_по_сделке"/>
      <sheetName val="Полный_перечень_документов"/>
      <sheetName val="Документы_от_клиента"/>
      <sheetName val="гр+"/>
      <sheetName val="Сводный-затраты"/>
      <sheetName val="Таблица"/>
      <sheetName val="finansal tamamlanma eğrisi"/>
      <sheetName val="comps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>
        <row r="4">
          <cell r="K4">
            <v>4000</v>
          </cell>
        </row>
      </sheetData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>
        <row r="4">
          <cell r="K4">
            <v>4000</v>
          </cell>
        </row>
      </sheetData>
      <sheetData sheetId="32">
        <row r="4">
          <cell r="K4">
            <v>4000</v>
          </cell>
        </row>
      </sheetData>
      <sheetData sheetId="33">
        <row r="4">
          <cell r="K4">
            <v>4000</v>
          </cell>
        </row>
      </sheetData>
      <sheetData sheetId="34">
        <row r="4">
          <cell r="K4">
            <v>4000</v>
          </cell>
        </row>
      </sheetData>
      <sheetData sheetId="35">
        <row r="4">
          <cell r="K4">
            <v>4000</v>
          </cell>
        </row>
      </sheetData>
      <sheetData sheetId="36">
        <row r="4">
          <cell r="K4">
            <v>4000</v>
          </cell>
        </row>
      </sheetData>
      <sheetData sheetId="37">
        <row r="4">
          <cell r="K4">
            <v>4000</v>
          </cell>
        </row>
      </sheetData>
      <sheetData sheetId="38">
        <row r="4">
          <cell r="K4">
            <v>4000</v>
          </cell>
        </row>
      </sheetData>
      <sheetData sheetId="39">
        <row r="4">
          <cell r="K4">
            <v>4000</v>
          </cell>
        </row>
      </sheetData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>
        <row r="4">
          <cell r="K4">
            <v>4000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Класс"/>
      <sheetName val="кор на местоп"/>
      <sheetName val="Выручка"/>
      <sheetName val="Journals"/>
      <sheetName val="К5"/>
      <sheetName val="Предположения КАС"/>
      <sheetName val="Общ свед"/>
      <sheetName val="Const"/>
      <sheetName val="вспом"/>
      <sheetName val="Местоположение"/>
      <sheetName val="К_трафик"/>
      <sheetName val="К_удаленность_метро"/>
      <sheetName val="МБП"/>
      <sheetName val="Проводки"/>
      <sheetName val="XLR_NoRangeSheet"/>
      <sheetName val="PPE"/>
      <sheetName val="Комментарии к запросу"/>
      <sheetName val="Модель"/>
      <sheetName val="Fixed"/>
      <sheetName val="Fixed ADRs"/>
      <sheetName val="Equip"/>
      <sheetName val="Euro Fixed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Ст"/>
      <sheetName val="ИСХ ИНФ"/>
      <sheetName val="DIN"/>
      <sheetName val="Спецодежда СИЗ"/>
      <sheetName val="Перечень Спецодежды, СИЗ"/>
      <sheetName val="4 db"/>
      <sheetName val="Info"/>
      <sheetName val="Natl_Consult_Reg_"/>
      <sheetName val="Natl_Consult_Reg_1"/>
      <sheetName val="NASE_Oil-Revenue"/>
      <sheetName val="business_plan"/>
      <sheetName val="4_db"/>
      <sheetName val="DIR"/>
      <sheetName val="Перечень договоров"/>
      <sheetName val="Список"/>
      <sheetName val="Исх ЗУ"/>
      <sheetName val="Статьи расхода"/>
      <sheetName val="ЦФО"/>
      <sheetName val="ИСХ_ИНФ"/>
      <sheetName val="Бюджет2015"/>
      <sheetName val="остатки ОН на 01 12 2015"/>
      <sheetName val="К3 Инфл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Лист1"/>
      <sheetName val="Лист5"/>
      <sheetName val="Проект"/>
      <sheetName val="дисконт стр-во"/>
      <sheetName val="УПСС"/>
      <sheetName val="Структура парка_2016"/>
      <sheetName val="Предположения_КАС"/>
      <sheetName val="1.1"/>
      <sheetName val="Справочники ОПУ"/>
      <sheetName val="ФМ_Приморский _2 очередь"/>
      <sheetName val="ФМ_Приморский _3 оч(1к)"/>
      <sheetName val="vec"/>
      <sheetName val="dirrectories"/>
      <sheetName val="кор_на_местоп"/>
      <sheetName val="Общ_свед"/>
      <sheetName val="Roll"/>
      <sheetName val="Natl_Consult_Reg_2"/>
      <sheetName val="Natl_Consult_Reg_3"/>
      <sheetName val="NASE_Oil-Revenue1"/>
      <sheetName val="business_plan1"/>
      <sheetName val="кор_на_местоп1"/>
      <sheetName val="Предположения_КАС1"/>
      <sheetName val="Общ_свед1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Статьи ДДС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Данные"/>
      <sheetName val="Справочники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  <sheetName val="Booked Exposure"/>
      <sheetName val="Декабрь"/>
      <sheetName val="тыс"/>
      <sheetName val="прогноз янв"/>
      <sheetName val="Лист3"/>
      <sheetName val="Snapshot"/>
      <sheetName val="Prices"/>
      <sheetName val="SpanAdv"/>
      <sheetName val="MediMod"/>
      <sheetName val="Subfed SpB"/>
      <sheetName val="март"/>
      <sheetName val="Справочники_для_ССП"/>
      <sheetName val="Словари"/>
      <sheetName val="Proforma"/>
      <sheetName val="Style Summary"/>
      <sheetName val="Natl_Consult_Reg_14"/>
      <sheetName val="Natl_Consult_Reg_15"/>
      <sheetName val="NASE_Oil-Revenue7"/>
      <sheetName val="business_plan7"/>
      <sheetName val="Предположения_КАС7"/>
      <sheetName val="кор_на_местоп7"/>
      <sheetName val="Общ_свед7"/>
      <sheetName val="ФМ_Приморский__2_очередь2"/>
      <sheetName val="ФМ_Приморский__3_оч(1к)2"/>
      <sheetName val="Статьи_ЦФО2"/>
      <sheetName val="Приложение_2_16_12"/>
      <sheetName val="1_1_План_счетов2"/>
      <sheetName val="Статьи_ДДС2"/>
      <sheetName val="Laminat(OEM)ship_(Price)2"/>
      <sheetName val="SUIVI_EFFECTIFS2"/>
      <sheetName val="EFFECT_2"/>
      <sheetName val="CAB_19982"/>
      <sheetName val="Vendas_Tons2"/>
      <sheetName val="C_Estr_2"/>
      <sheetName val="Базовая_ОРС_офис2"/>
      <sheetName val="тип_данных2"/>
      <sheetName val="Справочник_2"/>
      <sheetName val="1_1_Inputs2"/>
      <sheetName val="Natl_Consult_Reg_12"/>
      <sheetName val="Natl_Consult_Reg_13"/>
      <sheetName val="NASE_Oil-Revenue6"/>
      <sheetName val="business_plan6"/>
      <sheetName val="Предположения_КАС6"/>
      <sheetName val="кор_на_местоп6"/>
      <sheetName val="Общ_свед6"/>
      <sheetName val="SUIVI_EFFECTIFS1"/>
      <sheetName val="EFFECT_1"/>
      <sheetName val="CAB_19981"/>
      <sheetName val="Vendas_Tons1"/>
      <sheetName val="C_Estr_1"/>
      <sheetName val="тип_данных1"/>
      <sheetName val="Справочник_1"/>
      <sheetName val="1_1_Inputs1"/>
      <sheetName val="реестр"/>
      <sheetName val="ЗУ"/>
      <sheetName val="3. РМ_ЗС_Inp2023"/>
      <sheetName val="Base"/>
      <sheetName val="Дохо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61">
          <cell r="D61">
            <v>0</v>
          </cell>
        </row>
      </sheetData>
      <sheetData sheetId="86">
        <row r="61">
          <cell r="D61">
            <v>0</v>
          </cell>
        </row>
      </sheetData>
      <sheetData sheetId="87">
        <row r="61">
          <cell r="D61">
            <v>0</v>
          </cell>
        </row>
      </sheetData>
      <sheetData sheetId="88">
        <row r="61">
          <cell r="D61">
            <v>0</v>
          </cell>
        </row>
      </sheetData>
      <sheetData sheetId="89">
        <row r="61">
          <cell r="D61">
            <v>0</v>
          </cell>
        </row>
      </sheetData>
      <sheetData sheetId="90">
        <row r="61">
          <cell r="D61">
            <v>0</v>
          </cell>
        </row>
      </sheetData>
      <sheetData sheetId="91">
        <row r="61">
          <cell r="D61">
            <v>0</v>
          </cell>
        </row>
      </sheetData>
      <sheetData sheetId="92">
        <row r="61">
          <cell r="D61">
            <v>0</v>
          </cell>
        </row>
      </sheetData>
      <sheetData sheetId="93">
        <row r="61">
          <cell r="D61">
            <v>0</v>
          </cell>
        </row>
      </sheetData>
      <sheetData sheetId="94">
        <row r="61">
          <cell r="D61">
            <v>0</v>
          </cell>
        </row>
      </sheetData>
      <sheetData sheetId="95">
        <row r="61">
          <cell r="D61">
            <v>0</v>
          </cell>
        </row>
      </sheetData>
      <sheetData sheetId="96">
        <row r="61">
          <cell r="D61">
            <v>0</v>
          </cell>
        </row>
      </sheetData>
      <sheetData sheetId="97">
        <row r="61">
          <cell r="D61">
            <v>0</v>
          </cell>
        </row>
      </sheetData>
      <sheetData sheetId="98">
        <row r="61">
          <cell r="D61">
            <v>0</v>
          </cell>
        </row>
      </sheetData>
      <sheetData sheetId="99">
        <row r="61">
          <cell r="D61">
            <v>0</v>
          </cell>
        </row>
      </sheetData>
      <sheetData sheetId="100">
        <row r="61">
          <cell r="D61">
            <v>0</v>
          </cell>
        </row>
      </sheetData>
      <sheetData sheetId="101">
        <row r="61">
          <cell r="D61">
            <v>0</v>
          </cell>
        </row>
      </sheetData>
      <sheetData sheetId="102">
        <row r="61">
          <cell r="D61">
            <v>0</v>
          </cell>
        </row>
      </sheetData>
      <sheetData sheetId="103">
        <row r="61">
          <cell r="D61">
            <v>0</v>
          </cell>
        </row>
      </sheetData>
      <sheetData sheetId="104">
        <row r="61">
          <cell r="D61">
            <v>0</v>
          </cell>
        </row>
      </sheetData>
      <sheetData sheetId="105">
        <row r="61">
          <cell r="D61">
            <v>0</v>
          </cell>
        </row>
      </sheetData>
      <sheetData sheetId="106">
        <row r="61">
          <cell r="D61">
            <v>0</v>
          </cell>
        </row>
      </sheetData>
      <sheetData sheetId="107">
        <row r="61">
          <cell r="D61">
            <v>0</v>
          </cell>
        </row>
      </sheetData>
      <sheetData sheetId="108">
        <row r="61">
          <cell r="D61">
            <v>0</v>
          </cell>
        </row>
      </sheetData>
      <sheetData sheetId="109">
        <row r="61">
          <cell r="D61">
            <v>0</v>
          </cell>
        </row>
      </sheetData>
      <sheetData sheetId="110">
        <row r="61">
          <cell r="D61">
            <v>0</v>
          </cell>
        </row>
      </sheetData>
      <sheetData sheetId="111">
        <row r="61">
          <cell r="D61">
            <v>0</v>
          </cell>
        </row>
      </sheetData>
      <sheetData sheetId="112">
        <row r="61">
          <cell r="D61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61">
          <cell r="D61">
            <v>0</v>
          </cell>
        </row>
      </sheetData>
      <sheetData sheetId="149">
        <row r="61">
          <cell r="D61">
            <v>0</v>
          </cell>
        </row>
      </sheetData>
      <sheetData sheetId="150">
        <row r="61">
          <cell r="D61">
            <v>0</v>
          </cell>
        </row>
      </sheetData>
      <sheetData sheetId="151">
        <row r="61">
          <cell r="D61">
            <v>0</v>
          </cell>
        </row>
      </sheetData>
      <sheetData sheetId="152">
        <row r="61">
          <cell r="D61">
            <v>0</v>
          </cell>
        </row>
      </sheetData>
      <sheetData sheetId="153">
        <row r="61">
          <cell r="D61">
            <v>0</v>
          </cell>
        </row>
      </sheetData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>
        <row r="61">
          <cell r="D61">
            <v>0</v>
          </cell>
        </row>
      </sheetData>
      <sheetData sheetId="159">
        <row r="61">
          <cell r="D61">
            <v>0</v>
          </cell>
        </row>
      </sheetData>
      <sheetData sheetId="160">
        <row r="61">
          <cell r="D61">
            <v>0</v>
          </cell>
        </row>
      </sheetData>
      <sheetData sheetId="161">
        <row r="61">
          <cell r="D61">
            <v>0</v>
          </cell>
        </row>
      </sheetData>
      <sheetData sheetId="162">
        <row r="61">
          <cell r="D61">
            <v>0</v>
          </cell>
        </row>
      </sheetData>
      <sheetData sheetId="163">
        <row r="61">
          <cell r="D61">
            <v>0</v>
          </cell>
        </row>
      </sheetData>
      <sheetData sheetId="164">
        <row r="61">
          <cell r="D61">
            <v>0</v>
          </cell>
        </row>
      </sheetData>
      <sheetData sheetId="165">
        <row r="61">
          <cell r="D61">
            <v>0</v>
          </cell>
        </row>
      </sheetData>
      <sheetData sheetId="166">
        <row r="61">
          <cell r="D61">
            <v>0</v>
          </cell>
        </row>
      </sheetData>
      <sheetData sheetId="167">
        <row r="61">
          <cell r="D61">
            <v>0</v>
          </cell>
        </row>
      </sheetData>
      <sheetData sheetId="168">
        <row r="61">
          <cell r="D61">
            <v>0</v>
          </cell>
        </row>
      </sheetData>
      <sheetData sheetId="169">
        <row r="61">
          <cell r="D61">
            <v>0</v>
          </cell>
        </row>
      </sheetData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>
        <row r="61">
          <cell r="D61">
            <v>0</v>
          </cell>
        </row>
      </sheetData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61">
          <cell r="D61">
            <v>0</v>
          </cell>
        </row>
      </sheetData>
      <sheetData sheetId="199">
        <row r="61">
          <cell r="D61">
            <v>0</v>
          </cell>
        </row>
      </sheetData>
      <sheetData sheetId="200">
        <row r="61">
          <cell r="D61">
            <v>0</v>
          </cell>
        </row>
      </sheetData>
      <sheetData sheetId="201" refreshError="1"/>
      <sheetData sheetId="202">
        <row r="61">
          <cell r="D61">
            <v>0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61">
          <cell r="D61">
            <v>0</v>
          </cell>
        </row>
      </sheetData>
      <sheetData sheetId="209">
        <row r="61">
          <cell r="D61">
            <v>0</v>
          </cell>
        </row>
      </sheetData>
      <sheetData sheetId="210">
        <row r="61">
          <cell r="D61">
            <v>0</v>
          </cell>
        </row>
      </sheetData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>
        <row r="61">
          <cell r="D61">
            <v>0</v>
          </cell>
        </row>
      </sheetData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>
        <row r="61">
          <cell r="D61">
            <v>0</v>
          </cell>
        </row>
      </sheetData>
      <sheetData sheetId="229">
        <row r="61">
          <cell r="D61">
            <v>0</v>
          </cell>
        </row>
      </sheetData>
      <sheetData sheetId="230">
        <row r="61">
          <cell r="D61">
            <v>0</v>
          </cell>
        </row>
      </sheetData>
      <sheetData sheetId="231">
        <row r="61">
          <cell r="D61">
            <v>0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  <sheetName val="finansal tamamlanma eğrisi"/>
      <sheetName val="cus_HK1033"/>
      <sheetName val="title"/>
      <sheetName val="SR3"/>
      <sheetName val="sov tot"/>
      <sheetName val="PRC bank"/>
      <sheetName val="ЗУ_2015"/>
      <sheetName val="13 NGDO"/>
      <sheetName val="Deviation"/>
      <sheetName val="Сoefficients"/>
      <sheetName val="Лист3"/>
      <sheetName val="Prelim Cost"/>
      <sheetName val="Округа"/>
      <sheetName val="Ставка Д"/>
      <sheetName val="Начало"/>
      <sheetName val="Движение по месяцам"/>
      <sheetName val="Средняя стоимость"/>
      <sheetName val="Цеховые"/>
      <sheetName val="1.401.2"/>
      <sheetName val="Style Summary"/>
      <sheetName val="Link"/>
      <sheetName val="Продажи реальные и прогноз 20 л"/>
      <sheetName val="Компенсация2"/>
      <sheetName val="tickmarks"/>
      <sheetName val="ex-rates"/>
      <sheetName val="NB_Tariffs"/>
      <sheetName val="Разницы КЗ"/>
      <sheetName val="КЗ"/>
      <sheetName val="Передано в аренду 2019"/>
      <sheetName val="O-120"/>
      <sheetName val="O-110"/>
      <sheetName val="GLCratiosJun"/>
      <sheetName val="cash flow"/>
      <sheetName val="B03"/>
      <sheetName val="tpd costs"/>
      <sheetName val="pasiva-skutečnost"/>
      <sheetName val="pasiva-skute?nost"/>
      <sheetName val="n-10"/>
      <sheetName val="Объем"/>
      <sheetName val="Terminal Value"/>
      <sheetName val="can doi - ket qua"/>
      <sheetName val="Table"/>
      <sheetName val="Информация"/>
      <sheetName val="akt"/>
      <sheetName val="ICPs"/>
      <sheetName val="Lookup"/>
      <sheetName val="Control_Admin"/>
      <sheetName val="Req"/>
      <sheetName val="Levels"/>
      <sheetName val="Ф.2"/>
      <sheetName val="ДЗ и КЗ обороты с ДЗО"/>
      <sheetName val="Ф.4"/>
      <sheetName val="исходники"/>
      <sheetName val="ф2"/>
      <sheetName val="Database (RUR)Mar YTD"/>
      <sheetName val="итог"/>
      <sheetName val="СМР"/>
      <sheetName val="CamKum Prod"/>
      <sheetName val="Акты_дебиторов2"/>
      <sheetName val="Assumpt_2"/>
      <sheetName val="FX_Adjustment2"/>
      <sheetName val="стр_145_рос__исп2"/>
      <sheetName val="Location_(Naming)2"/>
      <sheetName val="Location_Handling2"/>
      <sheetName val="ProductBundle_(Naming)2"/>
      <sheetName val="Location_Cap2"/>
      <sheetName val="ProcessMode_Coefficients2"/>
      <sheetName val="Share_Price_20022"/>
      <sheetName val="6_Продажа_квартир2"/>
      <sheetName val="3_ЗАТРАТЫ2"/>
      <sheetName val="Аренда_Торговля2"/>
      <sheetName val="Аренда_СТО2"/>
      <sheetName val="ДП_пессимист_2"/>
      <sheetName val="общие_сведения2"/>
      <sheetName val="Метод_остатка2"/>
      <sheetName val="график01_09_022"/>
      <sheetName val="1_ИСХ_2"/>
      <sheetName val="исх_12"/>
      <sheetName val="график_строительства2"/>
      <sheetName val="9_ДП2"/>
      <sheetName val="Сведение_объект2"/>
      <sheetName val="общие_данные2"/>
      <sheetName val="14_ДП2"/>
      <sheetName val="7_ЗУ_ГУИОН!2"/>
      <sheetName val="Ф1_Актив_1-22"/>
      <sheetName val="стр-во_склад2"/>
      <sheetName val="Статьи_БДДС2"/>
      <sheetName val="Аналог_22"/>
      <sheetName val="Акты_дебиторов1"/>
      <sheetName val="Assumpt_1"/>
      <sheetName val="FX_Adjustment1"/>
      <sheetName val="Location_(Naming)1"/>
      <sheetName val="Location_Handling1"/>
      <sheetName val="ProductBundle_(Naming)1"/>
      <sheetName val="Location_Cap1"/>
      <sheetName val="ProcessMode_Coefficients1"/>
      <sheetName val="Share_Price_20021"/>
      <sheetName val="6_Продажа_квартир1"/>
      <sheetName val="3_ЗАТРАТЫ1"/>
      <sheetName val="Аренда_Торговля1"/>
      <sheetName val="Аренда_СТО1"/>
      <sheetName val="ДП_пессимист_1"/>
      <sheetName val="общие_сведения1"/>
      <sheetName val="Метод_остатка1"/>
      <sheetName val="график01_09_021"/>
      <sheetName val="1_ИСХ_1"/>
      <sheetName val="исх_11"/>
      <sheetName val="график_строительства1"/>
      <sheetName val="9_ДП1"/>
      <sheetName val="Сведение_объект1"/>
      <sheetName val="общие_данные1"/>
      <sheetName val="14_ДП1"/>
      <sheetName val="7_ЗУ_ГУИОН!1"/>
      <sheetName val="Ф1_Актив_1-21"/>
      <sheetName val="стр-во_склад1"/>
      <sheetName val="Статьи_БДДС1"/>
      <sheetName val="Аналог_21"/>
      <sheetName val="цены пок.хим."/>
      <sheetName val="список данных"/>
      <sheetName val="Баланс_ээ1"/>
      <sheetName val="Баланс_мощности1"/>
      <sheetName val="Рег_генер1"/>
      <sheetName val="Бюджет годовой"/>
      <sheetName val="1_ИСХ1"/>
      <sheetName val="документы_Кириши1"/>
      <sheetName val="UNIT RATES"/>
      <sheetName val="Bill1 IKEA"/>
      <sheetName val="Bill10 Delivery zone "/>
      <sheetName val="Bill11 Tech.Prem.Roof"/>
      <sheetName val="Bill12 UC Mall "/>
      <sheetName val="Bill13 Complex Roof "/>
      <sheetName val="Bill14 Restaurant square"/>
      <sheetName val="Bill15 Sport area"/>
      <sheetName val="Bill16 Open Parking "/>
      <sheetName val="Bill17 Tech. Building"/>
      <sheetName val="Bill18 Landscape&amp;roads"/>
      <sheetName val="Bill19 On-Site Utilities"/>
      <sheetName val="Bill1A IKEA Integration"/>
      <sheetName val="Bill2 IKEA UC"/>
      <sheetName val="Bill3 Mall Str."/>
      <sheetName val="Bill4 Mall fit-out"/>
      <sheetName val="Bill5 Hypermarket  "/>
      <sheetName val="Bill6 Cinema  "/>
      <sheetName val="Bill7 Restaurant area"/>
      <sheetName val="Bill8 Del. Tunnels"/>
      <sheetName val="Bill9 Discovery center"/>
      <sheetName val="Beton Maliyet Analizi"/>
      <sheetName val="Период"/>
      <sheetName val="Petty Cash"/>
      <sheetName val="стоимость скважин"/>
      <sheetName val="мат.по скв."/>
      <sheetName val="dep"/>
      <sheetName val="оборуд_1"/>
      <sheetName val="MC-1"/>
      <sheetName val="DCF Assumptions"/>
      <sheetName val="PV Calcs"/>
      <sheetName val="К3. Анализ длительн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 refreshError="1"/>
      <sheetData sheetId="809" refreshError="1"/>
      <sheetData sheetId="810"/>
      <sheetData sheetId="811"/>
      <sheetData sheetId="812"/>
      <sheetData sheetId="813" refreshError="1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  <sheetName val="A"/>
      <sheetName val="FORM B; FORM B1"/>
      <sheetName val="GSChartLabels"/>
      <sheetName val="Grouplist"/>
      <sheetName val="segments"/>
      <sheetName val="Options"/>
      <sheetName val="UPS SI System DDP Moscow"/>
      <sheetName val="Справочники таблиц"/>
      <sheetName val="версия 1"/>
      <sheetName val="Brdwn"/>
      <sheetName val="топография"/>
      <sheetName val="FST5"/>
      <sheetName val="себ-сть Б"/>
      <sheetName val="Data BURKOL"/>
      <sheetName val="BEF_2009"/>
      <sheetName val="FX"/>
      <sheetName val="INVESTISSEMENTS"/>
      <sheetName val="Газ_и_э-э1"/>
      <sheetName val="БДР_кв1"/>
      <sheetName val="Таблица_рассрочки"/>
      <sheetName val="GAAP_0302"/>
      <sheetName val="Riders_for_Info_Pack"/>
      <sheetName val="Tabla"/>
      <sheetName val="ВКЗ"/>
      <sheetName val="12 кред ф баланс"/>
      <sheetName val="Авансы полученные"/>
      <sheetName val="Авансы уплаченные"/>
      <sheetName val="итог"/>
      <sheetName val="TESİSAT"/>
      <sheetName val="#ССЫЛКА"/>
      <sheetName val="Титульный лист"/>
      <sheetName val="44"/>
      <sheetName val="tickmarks"/>
      <sheetName val="ex-rates"/>
      <sheetName val="B inputs"/>
      <sheetName val="справочники"/>
      <sheetName val="KrasInputs"/>
      <sheetName val="OMinputs"/>
      <sheetName val="TVinputs"/>
      <sheetName val="Variables"/>
      <sheetName val="rje"/>
      <sheetName val="REESTR_MO"/>
      <sheetName val="TEHSHEET"/>
      <sheetName val="Титульный"/>
      <sheetName val="Globals"/>
      <sheetName val="Kr"/>
      <sheetName val="Assumptions"/>
      <sheetName val="kpi"/>
      <sheetName val="BS _RAS_"/>
      <sheetName val="data ofa"/>
      <sheetName val="График экск."/>
      <sheetName val="Proforma"/>
      <sheetName val="Presentation income statement"/>
      <sheetName val="SWBD-CB"/>
      <sheetName val="холдинг"/>
      <sheetName val="Админ"/>
      <sheetName val="ИСХ_ИНФ"/>
      <sheetName val="Inventories as of 03.20"/>
      <sheetName val="Flow_summary"/>
      <sheetName val="Generator_summary"/>
      <sheetName val="Inventories_as_of_03_20"/>
      <sheetName val="#¡REF"/>
      <sheetName val="1999-veca"/>
      <sheetName val="Справочник статей"/>
      <sheetName val="Станд.кор"/>
      <sheetName val="Нестанд.кор"/>
      <sheetName val="НМА"/>
      <sheetName val="ОС"/>
      <sheetName val="лимиты"/>
      <sheetName val="каменских и.м."/>
      <sheetName val="Risk-Free Rate"/>
      <sheetName val="Data Sheet"/>
      <sheetName val="бюджет ремонтов"/>
      <sheetName val="формат_бухг_разбивка сотруднико"/>
      <sheetName val="1"/>
      <sheetName val="2"/>
      <sheetName val="2.1"/>
      <sheetName val="2.2"/>
      <sheetName val="2.3"/>
      <sheetName val="РчСтЭЭ (УП)"/>
      <sheetName val="РчСтЭЭ (Ф)"/>
      <sheetName val="РчСтГМ (УП)"/>
      <sheetName val="РчСтГМ (Ф)"/>
      <sheetName val="Ìàêðî"/>
      <sheetName val="Cover _ Parameters"/>
      <sheetName val="5"/>
      <sheetName val="Ââîä"/>
      <sheetName val="Transmittal_In"/>
      <sheetName val="Fin.result"/>
      <sheetName val="Monte-Carlo"/>
      <sheetName val="Forecast Drivers"/>
      <sheetName val="t1"/>
      <sheetName val="Projections"/>
      <sheetName val="GENERAL INFO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  <sheetName val="sal"/>
      <sheetName val="сводная лссму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  <sheetName val="Client Information"/>
      <sheetName val="proforma"/>
      <sheetName val="Read me first"/>
      <sheetName val=" Lifting Costs млн.руб."/>
      <sheetName val="Serv"/>
      <sheetName val="welldata frac analysis"/>
      <sheetName val="январь"/>
      <sheetName val="Компании"/>
      <sheetName val="Balance Sheet"/>
      <sheetName val="Income Statement"/>
      <sheetName val="Курс USD, Euro, SDR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Справочник_ЦФО"/>
      <sheetName val="Справочник_МВЗ"/>
      <sheetName val="Assumptions_and_Inputs"/>
      <sheetName val="Оценка_стоимости_активов"/>
      <sheetName val="Свод"/>
      <sheetName val="a) Core Financials"/>
      <sheetName val="Control Panel"/>
      <sheetName val="Reference"/>
      <sheetName val="T1"/>
      <sheetName val="5"/>
      <sheetName val="Свод 2019"/>
      <sheetName val="Приозерск 2019"/>
      <sheetName val=" Уренгой 2019"/>
      <sheetName val="Лист4"/>
      <sheetName val="КЯЛ 2019"/>
      <sheetName val="Лист3"/>
      <sheetName val="Лист5"/>
      <sheetName val="Лист6"/>
      <sheetName val="СХВ 2018"/>
      <sheetName val="КЯЛ 2019 (20сч)"/>
      <sheetName val="КЯЛ_91 2019"/>
      <sheetName val="Починки"/>
      <sheetName val="СЕГ2 2019"/>
      <sheetName val="Лист14"/>
      <sheetName val="свДох 2019"/>
      <sheetName val="Доходы с аналитикой"/>
      <sheetName val="свТаб 2019"/>
      <sheetName val="Лист8"/>
      <sheetName val="Сводная с расшифровк "/>
      <sheetName val="Сводная с расшифровк  (4)"/>
      <sheetName val="распр. СРЭ остаток 1кв."/>
      <sheetName val="Сводная с расшифровк  (2)"/>
      <sheetName val="КЯЛ 2019 (2)"/>
      <sheetName val="Стр_Анализ"/>
      <sheetName val="свРасх_по годам"/>
      <sheetName val="ГРС Ильичево"/>
      <sheetName val="Сводная с расшифровк  (3)"/>
      <sheetName val="Спецремэнерго апр."/>
      <sheetName val="Доходы с расшифровкой"/>
      <sheetName val="БУ 90"/>
      <sheetName val="ПЛАН 2019"/>
      <sheetName val="Лист7"/>
      <sheetName val="Сводная ПРОЧИЕ"/>
      <sheetName val="Дох_по_годам"/>
      <sheetName val="зп"/>
      <sheetName val="Общ_"/>
      <sheetName val="создание_списков"/>
      <sheetName val="осв_ОАО_(2)"/>
      <sheetName val="CREDIT_STATS"/>
      <sheetName val="Справочник"/>
      <sheetName val="списки"/>
      <sheetName val="затраты"/>
      <sheetName val="СВ"/>
      <sheetName val="исходные данные"/>
      <sheetName val="Citrix замена "/>
      <sheetName val="Adjustment_schedule"/>
      <sheetName val="Фил_ref_list"/>
      <sheetName val="Доп 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3">
          <cell r="A3" t="str">
            <v>TABLE 4</v>
          </cell>
        </row>
      </sheetData>
      <sheetData sheetId="79">
        <row r="3">
          <cell r="A3" t="str">
            <v>TABLE 5</v>
          </cell>
        </row>
      </sheetData>
      <sheetData sheetId="80">
        <row r="3">
          <cell r="A3" t="str">
            <v>TABLE 6</v>
          </cell>
        </row>
      </sheetData>
      <sheetData sheetId="81">
        <row r="3">
          <cell r="A3" t="str">
            <v>TABLE 6</v>
          </cell>
        </row>
      </sheetData>
      <sheetData sheetId="82">
        <row r="3">
          <cell r="A3" t="str">
            <v>TABLE 5</v>
          </cell>
        </row>
      </sheetData>
      <sheetData sheetId="83">
        <row r="3">
          <cell r="A3" t="str">
            <v>TABLE 6</v>
          </cell>
        </row>
      </sheetData>
      <sheetData sheetId="84">
        <row r="3">
          <cell r="A3" t="str">
            <v>TABLE 6</v>
          </cell>
        </row>
      </sheetData>
      <sheetData sheetId="85">
        <row r="3">
          <cell r="A3" t="str">
            <v>TABLE 6</v>
          </cell>
        </row>
      </sheetData>
      <sheetData sheetId="86">
        <row r="3">
          <cell r="A3" t="str">
            <v>TABLE 6</v>
          </cell>
        </row>
      </sheetData>
      <sheetData sheetId="87">
        <row r="3">
          <cell r="A3" t="str">
            <v>TABLE 6</v>
          </cell>
        </row>
      </sheetData>
      <sheetData sheetId="88">
        <row r="3">
          <cell r="A3" t="str">
            <v>TABLE 6</v>
          </cell>
        </row>
      </sheetData>
      <sheetData sheetId="89">
        <row r="3">
          <cell r="A3" t="str">
            <v>TABLE 6</v>
          </cell>
        </row>
      </sheetData>
      <sheetData sheetId="90">
        <row r="3">
          <cell r="A3" t="str">
            <v>TABLE 6</v>
          </cell>
        </row>
      </sheetData>
      <sheetData sheetId="91">
        <row r="3">
          <cell r="A3" t="str">
            <v>TABLE 5</v>
          </cell>
        </row>
      </sheetData>
      <sheetData sheetId="92">
        <row r="3">
          <cell r="A3" t="str">
            <v>TABLE 6</v>
          </cell>
        </row>
      </sheetData>
      <sheetData sheetId="93"/>
      <sheetData sheetId="94">
        <row r="3">
          <cell r="A3" t="str">
            <v>TABLE 6</v>
          </cell>
        </row>
      </sheetData>
      <sheetData sheetId="95"/>
      <sheetData sheetId="96">
        <row r="3">
          <cell r="A3" t="str">
            <v>TABLE 6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АО Газстройпроект</v>
          </cell>
        </row>
      </sheetData>
      <sheetData sheetId="104"/>
      <sheetData sheetId="105"/>
      <sheetData sheetId="106"/>
      <sheetData sheetId="107">
        <row r="1">
          <cell r="C1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3">
          <cell r="A3" t="str">
            <v>TABLE 4</v>
          </cell>
        </row>
      </sheetData>
      <sheetData sheetId="139">
        <row r="3">
          <cell r="A3" t="str">
            <v>TABLE 5</v>
          </cell>
        </row>
      </sheetData>
      <sheetData sheetId="140">
        <row r="3">
          <cell r="A3" t="str">
            <v>TABLE 6</v>
          </cell>
        </row>
      </sheetData>
      <sheetData sheetId="141">
        <row r="3">
          <cell r="A3" t="str">
            <v>TABLE 6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REPORT"/>
      <sheetName val="SENSITIVITY"/>
      <sheetName val="TRAFFIC CALC"/>
      <sheetName val="TRAFFIC PARM"/>
      <sheetName val="ECONOMIC DATA"/>
      <sheetName val="Data Sheet"/>
      <sheetName val="CSCCincSKR"/>
      <sheetName val="Proforma"/>
      <sheetName val="Payroll"/>
      <sheetName val="осв ОАО (2)"/>
      <sheetName val="BS"/>
      <sheetName val="Сценарии"/>
      <sheetName val="ФД"/>
      <sheetName val="Lib"/>
      <sheetName val="Прогноз декабрь апрель 2004"/>
      <sheetName val="InpC"/>
      <sheetName val="XLR_NoRangeSheet"/>
      <sheetName val="трансформация1"/>
      <sheetName val="Control"/>
      <sheetName val="Settl.Finanacing"/>
      <sheetName val="P&amp;L"/>
      <sheetName val="Баланс hti"/>
      <sheetName val="кфп-с-м2м 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Соответствие статей БДР-ДДС"/>
      <sheetName val="статьи"/>
      <sheetName val="MEX95IB"/>
      <sheetName val="WIVRA"/>
      <sheetName val="Data_CF"/>
      <sheetName val="SAS TB 6m2006"/>
      <sheetName val="Справочник статей"/>
      <sheetName val="ДИН2014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Выпадающие списки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dicative ref margin"/>
      <sheetName val="SAD"/>
      <sheetName val="ИСХОДНИК"/>
      <sheetName val="Sub group code &amp; Name"/>
      <sheetName val="Input_Assumptions"/>
      <sheetName val="Bendra"/>
      <sheetName val="S 60"/>
      <sheetName val="Заказы"/>
      <sheetName val=""/>
      <sheetName val="Прогноз%20декабрь%20апрель%2020"/>
      <sheetName val="Total Revenue"/>
      <sheetName val="Справочник"/>
      <sheetName val="Adjustment schedule"/>
      <sheetName val="тех.лист"/>
      <sheetName val="Rates"/>
      <sheetName val="фасады общий"/>
      <sheetName val="Справочник МВЗ"/>
      <sheetName val="Справочник ДДС"/>
      <sheetName val="Segmental Analysis"/>
      <sheetName val="CPS &amp; CbC"/>
      <sheetName val="Счетчик вопросов"/>
      <sheetName val="Справочники"/>
      <sheetName val="Date 2"/>
      <sheetName val="schsts"/>
      <sheetName val="Year 3"/>
      <sheetName val="ITALIANS"/>
      <sheetName val="Segment_OIBDA"/>
      <sheetName val="Service"/>
      <sheetName val="ВГО"/>
      <sheetName val="Лист"/>
      <sheetName val="Факт Dink-Inv 2004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Data_Sheet"/>
      <sheetName val="осв_ОАО_(2)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РИСКИ 2010"/>
      <sheetName val="РИСКИ2011"/>
      <sheetName val="Справочник статей БУ "/>
      <sheetName val="Ставка"/>
      <sheetName val="списки"/>
      <sheetName val="АТСи"/>
      <sheetName val="Прайс_Лист"/>
      <sheetName val="Гренобль_Ту-204"/>
      <sheetName val="Dropdown_list"/>
      <sheetName val="Список_регионов"/>
      <sheetName val="Выпадающие_списки"/>
      <sheetName val="Направления деятельност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СВОДНАЯ 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Global"/>
      <sheetName val="устр-во опорное"/>
      <sheetName val="Круг 6 листов "/>
      <sheetName val="i-network capex costs"/>
      <sheetName val="ЧМЗ Budget"/>
      <sheetName val="1997 fin. res."/>
      <sheetName val="exch. rates"/>
      <sheetName val="саратов (2)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natl consult reg."/>
      <sheetName val="cus_HK1033"/>
      <sheetName val="Client Information"/>
      <sheetName val="Тех. реализация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КУУ"/>
      <sheetName val="Budget presentation back up"/>
      <sheetName val="БДР"/>
      <sheetName val="Directory"/>
      <sheetName val=" 8230.07+"/>
      <sheetName val="8230.06+"/>
      <sheetName val="хранение 8230.08+"/>
      <sheetName val="+5610.04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CurRates"/>
      <sheetName val="Menu"/>
      <sheetName val="Income"/>
      <sheetName val="COST-TZ"/>
      <sheetName val="INP"/>
      <sheetName val="%D0%9F%D1%80%D0%BE%D0%B3%D0%BD%"/>
      <sheetName val="СТ ОЭ"/>
      <sheetName val="Q 2"/>
      <sheetName val="Validation Tables"/>
      <sheetName val="Lots1127"/>
      <sheetName val="Adjustment_schedule"/>
      <sheetName val="Total_Revenue"/>
      <sheetName val="Sub_group_code_&amp;_Name"/>
      <sheetName val="тех_лист"/>
      <sheetName val="PL.2013.01"/>
      <sheetName val="Доп инфо"/>
      <sheetName val="ОСВ"/>
      <sheetName val="EBITDA Bridge"/>
      <sheetName val="IVA Estimado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  <sheetName val="Time"/>
      <sheetName val="GLC_ratios_Jun"/>
      <sheetName val="Прогноз_декабрь_апрель_20043"/>
      <sheetName val="Баланс_hti2"/>
      <sheetName val="кфп-с-м2м_2"/>
      <sheetName val="Settl_Finanacing2"/>
      <sheetName val="Соответствие_статей_БДР-ДДС2"/>
      <sheetName val="Breakdown_AR2"/>
      <sheetName val="SAS_TB_6m20062"/>
      <sheetName val="Справочник_статей2"/>
      <sheetName val="_2"/>
      <sheetName val="Гренобль_Ту-2042"/>
      <sheetName val="Dropdown_list2"/>
      <sheetName val="Прайс_Лист2"/>
      <sheetName val="Список_регионов2"/>
      <sheetName val="Выпадающие_списки2"/>
      <sheetName val="Справочник_МВЗ1"/>
      <sheetName val="Справочник_ДДС1"/>
      <sheetName val="EBITDA_Bridges_v_Budget1"/>
      <sheetName val="Date_21"/>
      <sheetName val="Segmental_Analysis1"/>
      <sheetName val="CPS_&amp;_CbC1"/>
      <sheetName val="Справочник_статей_БУ_1"/>
      <sheetName val="TRAFFIC_CALC3"/>
      <sheetName val="TRAFFIC_PARM3"/>
      <sheetName val="ECONOMIC_DATA3"/>
      <sheetName val="Data_Sheet3"/>
      <sheetName val="осв_ОАО_(2)3"/>
      <sheetName val="Прогноз_декабрь_апрель_20044"/>
      <sheetName val="Баланс_hti3"/>
      <sheetName val="кфп-с-м2м_3"/>
      <sheetName val="Settl_Finanacing3"/>
      <sheetName val="Соответствие_статей_БДР-ДДС3"/>
      <sheetName val="Breakdown_AR3"/>
      <sheetName val="SAS_TB_6m20063"/>
      <sheetName val="Справочник_статей3"/>
      <sheetName val="_3"/>
      <sheetName val="Гренобль_Ту-2043"/>
      <sheetName val="Dropdown_list3"/>
      <sheetName val="Прайс_Лист3"/>
      <sheetName val="Список_регионов3"/>
      <sheetName val="Выпадающие_списки3"/>
      <sheetName val="S_602"/>
      <sheetName val="Total_Revenue2"/>
      <sheetName val="BS_Act_by_month2"/>
      <sheetName val="CF_act2"/>
      <sheetName val="CF_BB2"/>
      <sheetName val="P&amp;L_Act_month2"/>
      <sheetName val="P&amp;L_BB_month2"/>
      <sheetName val="Sub_group_code_&amp;_Name2"/>
      <sheetName val="Adjustment_schedule2"/>
      <sheetName val="Справочник_МВЗ2"/>
      <sheetName val="Справочник_ДДС2"/>
      <sheetName val="EBITDA_Bridges_v_Budget2"/>
      <sheetName val="Date_22"/>
      <sheetName val="Segmental_Analysis2"/>
      <sheetName val="CPS_&amp;_CbC2"/>
      <sheetName val="Справочник_статей_БУ_2"/>
      <sheetName val="TRAFFIC_CALC4"/>
      <sheetName val="TRAFFIC_PARM4"/>
      <sheetName val="ECONOMIC_DATA4"/>
      <sheetName val="Data_Sheet4"/>
      <sheetName val="осв_ОАО_(2)4"/>
      <sheetName val="Прогноз_декабрь_апрель_20045"/>
      <sheetName val="Баланс_hti4"/>
      <sheetName val="кфп-с-м2м_4"/>
      <sheetName val="Settl_Finanacing4"/>
      <sheetName val="Соответствие_статей_БДР-ДДС4"/>
      <sheetName val="Breakdown_AR4"/>
      <sheetName val="SAS_TB_6m20064"/>
      <sheetName val="Справочник_статей4"/>
      <sheetName val="_4"/>
      <sheetName val="Гренобль_Ту-2044"/>
      <sheetName val="Dropdown_list4"/>
      <sheetName val="Прайс_Лист4"/>
      <sheetName val="Список_регионов4"/>
      <sheetName val="Выпадающие_списки4"/>
      <sheetName val="S_603"/>
      <sheetName val="Total_Revenue3"/>
      <sheetName val="BS_Act_by_month3"/>
      <sheetName val="CF_act3"/>
      <sheetName val="CF_BB3"/>
      <sheetName val="P&amp;L_Act_month3"/>
      <sheetName val="P&amp;L_BB_month3"/>
      <sheetName val="Sub_group_code_&amp;_Name3"/>
      <sheetName val="Adjustment_schedule3"/>
      <sheetName val="Справочник_МВЗ3"/>
      <sheetName val="Справочник_ДДС3"/>
      <sheetName val="EBITDA_Bridges_v_Budget3"/>
      <sheetName val="Date_23"/>
      <sheetName val="Segmental_Analysis3"/>
      <sheetName val="CPS_&amp;_CbC3"/>
      <sheetName val="Справочник_статей_БУ_3"/>
      <sheetName val="lists"/>
      <sheetName val="journals"/>
      <sheetName val="cover"/>
      <sheetName val="Список_групп"/>
      <sheetName val="Data USA Cdn$"/>
      <sheetName val="Data USA US$"/>
      <sheetName val="back up Share Performance"/>
      <sheetName val="Лист11 (2)"/>
      <sheetName val="Лист11"/>
      <sheetName val="Sheet92"/>
      <sheetName val="Cash-Flow"/>
      <sheetName val="ОПУ"/>
      <sheetName val="Исходные данные"/>
      <sheetName val="Справочник для ФЭИ"/>
      <sheetName val="вспомогательные таблицы"/>
      <sheetName val="НДС"/>
      <sheetName val="Вид деятельности"/>
      <sheetName val="Статус"/>
      <sheetName val="валюта"/>
      <sheetName val="#REF"/>
      <sheetName val="Sheet1"/>
      <sheetName val="Rev"/>
      <sheetName val="FCF"/>
      <sheetName val="Schedules"/>
      <sheetName val="common-size"/>
      <sheetName val="Proj. Bal."/>
      <sheetName val="Ratios"/>
      <sheetName val="Read me first"/>
      <sheetName val="Поддерживающий лист"/>
      <sheetName val="Long List"/>
      <sheetName val="Lead"/>
      <sheetName val="пр-во"/>
      <sheetName val="Свод-1"/>
      <sheetName val="Итог по НПО "/>
      <sheetName val="баланс"/>
      <sheetName val="EMBI"/>
      <sheetName val="Svr Eur"/>
      <sheetName val="a)_Core_Financials"/>
      <sheetName val="Авансы_по_СНГ"/>
      <sheetName val="IncStat_03-04"/>
      <sheetName val="IncStat_03__"/>
      <sheetName val="PERSONNELIST"/>
      <sheetName val="TECHSHEET"/>
      <sheetName val=" 31_Oper lease"/>
      <sheetName val="PN's base (250)"/>
      <sheetName val="INFLOW"/>
      <sheetName val="sheet2"/>
      <sheetName val="Risk-Free Rate"/>
      <sheetName val="CMA"/>
      <sheetName val="Предпосылки"/>
      <sheetName val="ICO_budzet_97"/>
      <sheetName val="RSOILBAL"/>
      <sheetName val="INDIRECT COST"/>
      <sheetName val="graph_data"/>
      <sheetName val="бддс"/>
      <sheetName val="Front"/>
      <sheetName val="Jan 06"/>
      <sheetName val="DCF"/>
      <sheetName val="Соответствие_ст_x0000__x0000_Ԁ_x0000_耀㨛㯈_x0002__x0000__x0000_Ā_x0000_"/>
      <sheetName val="Соответствие_ст_x0000__x0000_Ԁ_x0000_闡㯇_x0002__x0000__x0000_Ā_x0000_"/>
      <sheetName val="Соответствие_ст┃ວࠁ堂耞鯝_x001b__x0000_㐀滳저漿"/>
      <sheetName val="Соответствие_ст䠀ᖚ┃馧_x0000_縂耖纀_x0016__x0000_䠀啬"/>
      <sheetName val="Соответствие_стꀀ㱭_xd814_ᩱ_x0014__x0000_⠀鑰밃钼؃_x0000_"/>
      <sheetName val="Соответствие_ст뀀䔂歟⋸⠡놹1_x0000_뀀᭩"/>
      <sheetName val="Соответствие_ст_x0000__x0000_Ԁ_x0000_ 狢봟_x0002__x0000__x0000_Ā_x0000_"/>
      <sheetName val="Соответствие_ст_x0000__x0000_Ԁ_x0000_倀篱봟_x0002__x0000__x0000_Ā_x0000_"/>
      <sheetName val="Соответствие_ст_x0000__x0000_Ԁ_x0000_ꀀ᛬纳_x0001__x0000__x0000_Ā_x0000_"/>
      <sheetName val="Соответствие_ст_x0000__x0000_Ԁ_x0000_ꀀ䊵迹_x0001__x0000__x0000_Ā_x0000_"/>
      <sheetName val="Соответствие_ст_x0000__x0000_Ԁ_x0000_辭绉_x0001__x0000__x0000_Ā_x0000_"/>
      <sheetName val="Соответствие_ст_x0000__x0000_Ԁ_x0000_瀀Ἆ继_x0001__x0000__x0000_Ā_x0000_"/>
      <sheetName val="Соответствие_ст_x0000__x0000_Ԁ_x0000_怀秙ﲁ_x0001__x0000__x0000_Ā_x0000_"/>
      <sheetName val="Соответствие_ст_x0000__x0000_Ԁ_x0000_᏿ﲈ_x0001__x0000__x0000_Ā_x0000_"/>
      <sheetName val="Соответствие_ст_x0000__x0000_Ԁ_x0000__x0000_꽟ﲁ_x0001__x0000__x0000_Ā_x0000_"/>
      <sheetName val="Соответствие_ст_x0000__x0000_Ԁ_x0000__x0000_傢翵_x0002__x0000__x0000_Ā_x0000_"/>
      <sheetName val="Соответствие_ст_x0000__x0000_Ԁ_x0000_ꀀ㎴ⓛ_x0002__x0000__x0000_Ā_x0000_"/>
      <sheetName val="Соответствие_ст_x0000__x0000_Ԁ_x0000_笲⓭_x0002__x0000__x0000_Ā_x0000_"/>
      <sheetName val="Соответствие_ст_x0000__x0000_Ԁ_x0000_怀ᄾⓧ_x0002__x0000__x0000_Ā_x0000_"/>
      <sheetName val="Соответствие_ст_x0000__x0000_Ԁ_x0000_⓰_x0002__x0000__x0000_Ā_x0000_"/>
      <sheetName val="Соответствие_ст_x0000__x0000_Ԁ_x0000_　簢⓭_x0002__x0000__x0000_Ā_x0000_"/>
      <sheetName val="Библиотека"/>
      <sheetName val="Затраты на оплату труда"/>
      <sheetName val="Свод-ведомость"/>
      <sheetName val="Соответствие_ст"/>
      <sheetName val="Соответствие_ст┃ວࠁ堂耞鯝_x001b_"/>
      <sheetName val="Соответствие_стꀀ㱭?_x0014_"/>
      <sheetName val="Соответствие_ст䠀ᖚ┃馧"/>
      <sheetName val="Соответствие_ст뀀䔂歟⋸⠡놹1"/>
      <sheetName val="база"/>
      <sheetName val="Соответствие_ст_x0000__x0000_Ԁ_x0000_怀⎧芍_x0001__x0000__x0000_Ā_x0000_"/>
      <sheetName val="Соответствие_ст_x0000__x0000_Ԁ_x0000__x0000_椕齨_x0001__x0000__x0000_Ā_x0000_"/>
      <sheetName val="Соответствие_ст_x0000__x0000_Ԁ_x0000_裗뾻_x0001__x0000__x0000_Ā_x0000_"/>
      <sheetName val="Соответствие_ст_x0000__x0000_Ԁ_x0000_倀剄뾱_x0001__x0000__x0000_Ā_x0000_"/>
      <sheetName val="Соответствие_ст_x0000__x0000_Ԁ_x0000_艥齤_x0001__x0000__x0000_Ā_x0000_"/>
      <sheetName val="Соответствие_ст_x0000__x0000_Ԁ_x0000_뀀텲齵_x0001__x0000__x0000_Ā_x0000_"/>
      <sheetName val="Соответствие_ст_x0000__x0000_Ԁ_x0000_　㣸齨_x0001__x0000__x0000_Ā_x0000_"/>
      <sheetName val="Соответствие_ст_x0000__x0000_Ԁ_x0000_퀀曫齵_x0001__x0000__x0000_Ā_x0000_"/>
      <sheetName val="Соответствие_ст_x0000__x0000_Ԁ_x0000_耀좟૪_x0001__x0000__x0000_Ā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>
        <row r="26">
          <cell r="C26" t="str">
            <v>Налог на прибыль</v>
          </cell>
        </row>
      </sheetData>
      <sheetData sheetId="149">
        <row r="26">
          <cell r="C26" t="str">
            <v>Налог на прибыль</v>
          </cell>
        </row>
      </sheetData>
      <sheetData sheetId="150">
        <row r="26">
          <cell r="C26" t="str">
            <v>Налог на прибыль</v>
          </cell>
        </row>
      </sheetData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>
        <row r="26">
          <cell r="C26" t="str">
            <v>Налог на прибыль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 refreshError="1"/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>
        <row r="26">
          <cell r="C26" t="str">
            <v>Налог на прибыль</v>
          </cell>
        </row>
      </sheetData>
      <sheetData sheetId="245">
        <row r="26">
          <cell r="C26" t="str">
            <v>Налог на прибыль</v>
          </cell>
        </row>
      </sheetData>
      <sheetData sheetId="246">
        <row r="26">
          <cell r="C26" t="str">
            <v>Налог на прибыль</v>
          </cell>
        </row>
      </sheetData>
      <sheetData sheetId="247" refreshError="1"/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>
        <row r="26">
          <cell r="C26" t="str">
            <v>Налог на прибыль</v>
          </cell>
        </row>
      </sheetData>
      <sheetData sheetId="293">
        <row r="26">
          <cell r="C26" t="str">
            <v>Налог на прибыль</v>
          </cell>
        </row>
      </sheetData>
      <sheetData sheetId="294">
        <row r="26">
          <cell r="C26" t="str">
            <v>Налог на прибыль</v>
          </cell>
        </row>
      </sheetData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Лист1"/>
      <sheetName val="INDIRECT COST"/>
      <sheetName val="каскад,5"/>
      <sheetName val="бог"/>
      <sheetName val="мфтц,к.4"/>
      <sheetName val="natl consult reg."/>
      <sheetName val="lob"/>
      <sheetName val="лист4"/>
      <sheetName val="Новая презентация"/>
      <sheetName val="Предпосылки"/>
      <sheetName val="Фин отчетность МСФО"/>
      <sheetName val="Вход"/>
      <sheetName val="Cash2"/>
      <sheetName val="Z"/>
      <sheetName val="inputs"/>
      <sheetName val="Бюджет"/>
      <sheetName val="Data"/>
      <sheetName val="cur_projects_pl"/>
      <sheetName val="Сводная_(2004)4"/>
      <sheetName val="Сводная_ЛССМУ4"/>
      <sheetName val="cur_projects_pl1"/>
      <sheetName val="Breakdown_CAPEX_(PBC)"/>
      <sheetName val="продажи_1_оч_"/>
      <sheetName val="sводная_ЛССМУ"/>
      <sheetName val="Отчет_о_реализации_площадей"/>
      <sheetName val="№1_отчет_о_реализации_площадей"/>
      <sheetName val="oil_"/>
      <sheetName val="mobile_"/>
      <sheetName val="energy_"/>
      <sheetName val="metal_"/>
      <sheetName val="telecom_"/>
      <sheetName val="INDIRECT_COST"/>
      <sheetName val="Kur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>
        <row r="39">
          <cell r="DE39">
            <v>161910764.88000003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cur_projects pl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  <sheetName val="TABLO-3"/>
      <sheetName val="рт2опервнерел"/>
      <sheetName val="10"/>
      <sheetName val="5"/>
      <sheetName val="14"/>
      <sheetName val="Нар.водопр."/>
      <sheetName val="Нар.освещение"/>
      <sheetName val="подкл.баш.крана"/>
      <sheetName val="Стоимости"/>
      <sheetName val="Z"/>
      <sheetName val="Cash2"/>
      <sheetName val="Аллокация затрат Комов"/>
      <sheetName val="Сводный-затраты"/>
      <sheetName val="input data"/>
      <sheetName val="кампания 2014 г."/>
      <sheetName val="ТИТУЛЬНЫЙ_ЛИСТ_20054"/>
      <sheetName val="Зак_14"/>
      <sheetName val="Зак_24"/>
      <sheetName val="Сводная_ЛССМУ4"/>
      <sheetName val="Оплата_по_графикам"/>
      <sheetName val="Список_Группы"/>
      <sheetName val="План_МСФО_счетов"/>
      <sheetName val="реализация_площадей_на_29_12_11"/>
      <sheetName val="Breakdown_CAPEX_(PBC)"/>
      <sheetName val="Master_Input_Sheet_Start_Here"/>
      <sheetName val="Расчет_выручки"/>
      <sheetName val="HIS_initial"/>
      <sheetName val="1_1_Inputs"/>
      <sheetName val="natl_consult_reg_"/>
      <sheetName val="cur_projects_pl"/>
      <sheetName val="Цены_СНГ"/>
      <sheetName val="текущие"/>
      <sheetName val="пере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Черновик"/>
      <sheetName val="Cash2"/>
      <sheetName val="Z"/>
      <sheetName val="lob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РС котлован"/>
      <sheetName val="Лист5"/>
      <sheetName val="Р1"/>
      <sheetName val="finansal tamamlanma eğrisi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  <sheetName val="оплата по графикам"/>
      <sheetName val="Предпосылки"/>
      <sheetName val="Analitics"/>
      <sheetName val="1.Список"/>
      <sheetName val="Векселя"/>
      <sheetName val="Карта"/>
      <sheetName val="Касса"/>
      <sheetName val="Р_счет"/>
      <sheetName val="План_поступлений6"/>
      <sheetName val="Сводная_ЛССМУ2"/>
      <sheetName val="cur_projects_pl2"/>
      <sheetName val="input_data2"/>
      <sheetName val="Вводы_и_передача2"/>
      <sheetName val="Итог_по_НПО_2"/>
      <sheetName val="Read_me_first2"/>
      <sheetName val="AOP_Summary-21"/>
      <sheetName val="Состав_Группы1"/>
      <sheetName val="KFI_1"/>
      <sheetName val="Затр_с_инфл_(с_инж)1"/>
      <sheetName val="№1_Отчет_о_реализации_площадей"/>
      <sheetName val="Breakdown_CAPEX_(PBC)"/>
      <sheetName val="C_1_D_1_РСП"/>
      <sheetName val="oil_"/>
      <sheetName val="mobile_"/>
      <sheetName val="energy_"/>
      <sheetName val="metal_"/>
      <sheetName val="telecom_"/>
      <sheetName val="Входные_параметры"/>
      <sheetName val="Новая_КС"/>
      <sheetName val="Справочники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3">
          <cell r="C3">
            <v>100604.08</v>
          </cell>
        </row>
      </sheetData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>
        <row r="3">
          <cell r="C3">
            <v>100604.08</v>
          </cell>
        </row>
      </sheetData>
      <sheetData sheetId="96"/>
      <sheetData sheetId="97">
        <row r="3">
          <cell r="C3">
            <v>100604.08</v>
          </cell>
        </row>
      </sheetData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3">
          <cell r="C3">
            <v>100604.08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0"/>
  <sheetViews>
    <sheetView showGridLines="0" topLeftCell="A4" zoomScaleNormal="100" workbookViewId="0">
      <selection activeCell="C25" sqref="C25"/>
    </sheetView>
  </sheetViews>
  <sheetFormatPr defaultColWidth="0" defaultRowHeight="15" zeroHeight="1" x14ac:dyDescent="0.25"/>
  <cols>
    <col min="1" max="1" width="9.140625" customWidth="1"/>
    <col min="2" max="2" width="78.140625" bestFit="1" customWidth="1"/>
    <col min="3" max="12" width="9.140625" customWidth="1"/>
    <col min="13" max="16384" width="9.140625" hidden="1"/>
  </cols>
  <sheetData>
    <row r="1" spans="2:8" x14ac:dyDescent="0.25"/>
    <row r="2" spans="2:8" x14ac:dyDescent="0.25"/>
    <row r="3" spans="2:8" x14ac:dyDescent="0.25"/>
    <row r="4" spans="2:8" x14ac:dyDescent="0.25"/>
    <row r="5" spans="2:8" ht="18" x14ac:dyDescent="0.25">
      <c r="H5" s="54" t="s">
        <v>277</v>
      </c>
    </row>
    <row r="6" spans="2:8" ht="15.75" x14ac:dyDescent="0.25">
      <c r="H6" s="55" t="s">
        <v>278</v>
      </c>
    </row>
    <row r="7" spans="2:8" x14ac:dyDescent="0.25"/>
    <row r="8" spans="2:8" x14ac:dyDescent="0.25"/>
    <row r="9" spans="2:8" x14ac:dyDescent="0.25"/>
    <row r="10" spans="2:8" x14ac:dyDescent="0.25"/>
    <row r="11" spans="2:8" ht="30" x14ac:dyDescent="0.4">
      <c r="B11" s="56" t="s">
        <v>279</v>
      </c>
      <c r="C11" s="41"/>
      <c r="D11" s="41"/>
      <c r="E11" s="41"/>
      <c r="F11" s="41"/>
      <c r="G11" s="41"/>
      <c r="H11" s="41"/>
    </row>
    <row r="12" spans="2:8" ht="20.25" x14ac:dyDescent="0.25">
      <c r="B12" s="57" t="s">
        <v>280</v>
      </c>
      <c r="C12" s="41"/>
      <c r="D12" s="41"/>
      <c r="F12" s="41"/>
      <c r="G12" s="41"/>
    </row>
    <row r="13" spans="2:8" ht="23.25" x14ac:dyDescent="0.35">
      <c r="B13" s="61" t="s">
        <v>0</v>
      </c>
      <c r="C13" s="58" t="s">
        <v>281</v>
      </c>
      <c r="E13" s="58"/>
      <c r="F13" s="41"/>
    </row>
    <row r="14" spans="2:8" x14ac:dyDescent="0.25">
      <c r="C14" s="41"/>
    </row>
    <row r="15" spans="2:8" ht="23.25" x14ac:dyDescent="0.35">
      <c r="B15" s="61" t="s">
        <v>282</v>
      </c>
      <c r="C15" s="41"/>
    </row>
    <row r="16" spans="2:8" ht="18" x14ac:dyDescent="0.25">
      <c r="B16" s="59" t="s">
        <v>283</v>
      </c>
      <c r="C16" s="60" t="s">
        <v>281</v>
      </c>
    </row>
    <row r="17" spans="2:8" ht="18" x14ac:dyDescent="0.25">
      <c r="B17" s="59" t="s">
        <v>290</v>
      </c>
      <c r="C17" s="60" t="s">
        <v>281</v>
      </c>
      <c r="F17" s="41"/>
      <c r="H17" s="41"/>
    </row>
    <row r="18" spans="2:8" ht="18" x14ac:dyDescent="0.25">
      <c r="B18" s="59" t="s">
        <v>95</v>
      </c>
      <c r="C18" s="60" t="s">
        <v>281</v>
      </c>
      <c r="F18" s="41"/>
      <c r="H18" s="41"/>
    </row>
    <row r="19" spans="2:8" ht="18" x14ac:dyDescent="0.25">
      <c r="B19" s="59" t="s">
        <v>284</v>
      </c>
      <c r="C19" s="60" t="s">
        <v>281</v>
      </c>
      <c r="D19" s="60"/>
      <c r="F19" s="41"/>
      <c r="H19" s="41"/>
    </row>
    <row r="20" spans="2:8" ht="18" x14ac:dyDescent="0.25">
      <c r="B20" s="59" t="s">
        <v>285</v>
      </c>
      <c r="C20" s="60" t="s">
        <v>281</v>
      </c>
      <c r="F20" s="41"/>
      <c r="H20" s="41"/>
    </row>
    <row r="21" spans="2:8" x14ac:dyDescent="0.25"/>
    <row r="22" spans="2:8" ht="23.25" x14ac:dyDescent="0.35">
      <c r="B22" s="61" t="s">
        <v>286</v>
      </c>
    </row>
    <row r="23" spans="2:8" ht="18" x14ac:dyDescent="0.25">
      <c r="B23" s="59" t="s">
        <v>287</v>
      </c>
      <c r="C23" s="60" t="s">
        <v>281</v>
      </c>
    </row>
    <row r="24" spans="2:8" ht="18" x14ac:dyDescent="0.25">
      <c r="B24" s="59" t="s">
        <v>288</v>
      </c>
      <c r="C24" s="60" t="s">
        <v>281</v>
      </c>
    </row>
    <row r="25" spans="2:8" ht="18" x14ac:dyDescent="0.25">
      <c r="B25" s="59" t="s">
        <v>289</v>
      </c>
      <c r="C25" s="60" t="s">
        <v>281</v>
      </c>
    </row>
    <row r="26" spans="2:8" ht="18" x14ac:dyDescent="0.25">
      <c r="H26" s="60"/>
    </row>
    <row r="27" spans="2:8" x14ac:dyDescent="0.25"/>
    <row r="28" spans="2:8" x14ac:dyDescent="0.25"/>
    <row r="29" spans="2:8" x14ac:dyDescent="0.25"/>
    <row r="30" spans="2:8" x14ac:dyDescent="0.25"/>
  </sheetData>
  <hyperlinks>
    <hyperlink ref="H6" r:id="rId1" xr:uid="{57C94E8A-03F1-4585-82FB-F47F9830677E}"/>
    <hyperlink ref="C16" location="'Operating Results'!A2" tooltip="wffee" display="&gt;&gt;" xr:uid="{3B585DCE-E6F0-4D6C-8968-48FA9A6D7EBD}"/>
    <hyperlink ref="C17" location="'Operating Results'!A46" tooltip="wffee" display="&gt;&gt;" xr:uid="{835EE55F-AD7E-473C-9378-5737336DE5FD}"/>
    <hyperlink ref="C18" location="'Assets valuation 2023'!A1" tooltip="wffee" display="&gt;&gt;" xr:uid="{F4995EFF-802A-4FAE-9EC7-58E9BAA6C6CE}"/>
    <hyperlink ref="C20" location="PL!A83" tooltip="wffee" display="&gt;&gt;" xr:uid="{62FD9178-B516-43E6-AEAF-467C0A1EB7B5}"/>
    <hyperlink ref="C23" location="BS!A2" tooltip="wffee" display="&gt;&gt;" xr:uid="{BD7DB65C-166A-498D-B077-5D36F2DF03D9}"/>
    <hyperlink ref="C24" location="PL!A2" tooltip="wffee" display="&gt;&gt;" xr:uid="{C7CF6286-43BF-4447-B310-5F05B2C367B3}"/>
    <hyperlink ref="C25" location="CF!A2" tooltip="wffee" display="&gt;&gt;" xr:uid="{835BAC53-06CC-441C-B94C-0D2799090942}"/>
    <hyperlink ref="C19" location="'Land Bank'!A130" tooltip="wffee" display="&gt;&gt;" xr:uid="{4D33F9BC-3121-4B4B-A73D-93FEAB04B178}"/>
    <hyperlink ref="C13" location="Overview!A2" tooltip="wffee" display="&gt;&gt;" xr:uid="{A7F47DA2-FE6F-41CB-9FC6-CAED0BFDB594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Q52"/>
  <sheetViews>
    <sheetView showGridLines="0" topLeftCell="A13" zoomScaleNormal="100" workbookViewId="0">
      <pane xSplit="1" topLeftCell="B1" activePane="topRight" state="frozen"/>
      <selection pane="topRight" activeCell="S34" sqref="S34"/>
    </sheetView>
  </sheetViews>
  <sheetFormatPr defaultColWidth="9.140625" defaultRowHeight="14.25" x14ac:dyDescent="0.2"/>
  <cols>
    <col min="1" max="1" width="51.7109375" style="41" bestFit="1" customWidth="1"/>
    <col min="2" max="15" width="9.140625" style="6"/>
    <col min="16" max="16384" width="9.140625" style="41"/>
  </cols>
  <sheetData>
    <row r="1" spans="1:17" x14ac:dyDescent="0.2">
      <c r="A1" s="68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7" ht="18" x14ac:dyDescent="0.25">
      <c r="A2" s="1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7" x14ac:dyDescent="0.2">
      <c r="A3" s="2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7" x14ac:dyDescent="0.2">
      <c r="A4" s="6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7" x14ac:dyDescent="0.2">
      <c r="A5" s="3"/>
      <c r="B5" s="106" t="s">
        <v>2</v>
      </c>
      <c r="C5" s="4">
        <v>2011</v>
      </c>
      <c r="D5" s="4">
        <v>2012</v>
      </c>
      <c r="E5" s="4">
        <v>2013</v>
      </c>
      <c r="F5" s="4">
        <v>2014</v>
      </c>
      <c r="G5" s="4">
        <v>2015</v>
      </c>
      <c r="H5" s="4">
        <v>2016</v>
      </c>
      <c r="I5" s="4">
        <v>2017</v>
      </c>
      <c r="J5" s="4">
        <v>2018</v>
      </c>
      <c r="K5" s="4">
        <v>2019</v>
      </c>
      <c r="L5" s="4">
        <v>2020</v>
      </c>
      <c r="M5" s="4">
        <v>2021</v>
      </c>
      <c r="N5" s="4">
        <v>2022</v>
      </c>
      <c r="O5" s="4">
        <v>2023</v>
      </c>
      <c r="P5" s="4">
        <v>2024</v>
      </c>
      <c r="Q5" s="4">
        <v>2025</v>
      </c>
    </row>
    <row r="6" spans="1:17" x14ac:dyDescent="0.2">
      <c r="A6" s="5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P6" s="6"/>
      <c r="Q6" s="6"/>
    </row>
    <row r="7" spans="1:17" x14ac:dyDescent="0.2">
      <c r="A7" s="6" t="s">
        <v>4</v>
      </c>
      <c r="B7" s="7" t="s">
        <v>5</v>
      </c>
      <c r="C7" s="8">
        <f>PL!B9</f>
        <v>22741</v>
      </c>
      <c r="D7" s="8">
        <f>PL!C9</f>
        <v>26894</v>
      </c>
      <c r="E7" s="8">
        <f>PL!D9</f>
        <v>39921</v>
      </c>
      <c r="F7" s="8">
        <f>PL!E9</f>
        <v>51481</v>
      </c>
      <c r="G7" s="8">
        <f>PL!F9</f>
        <v>42404</v>
      </c>
      <c r="H7" s="8">
        <f>PL!G9</f>
        <v>49022</v>
      </c>
      <c r="I7" s="8">
        <f>PL!H9</f>
        <v>70645</v>
      </c>
      <c r="J7" s="8">
        <f>PL!I9</f>
        <v>72327</v>
      </c>
      <c r="K7" s="8">
        <f>PL!J9</f>
        <v>84330</v>
      </c>
      <c r="L7" s="8">
        <f>PL!K9</f>
        <v>78655</v>
      </c>
      <c r="M7" s="8">
        <f>PL!L9</f>
        <v>87138</v>
      </c>
      <c r="N7" s="8">
        <v>80556</v>
      </c>
      <c r="O7" s="8">
        <v>88791</v>
      </c>
      <c r="P7" s="8">
        <f>130946</f>
        <v>130946</v>
      </c>
      <c r="Q7" s="8"/>
    </row>
    <row r="8" spans="1:17" x14ac:dyDescent="0.2">
      <c r="A8" s="6" t="s">
        <v>6</v>
      </c>
      <c r="B8" s="7" t="s">
        <v>5</v>
      </c>
      <c r="C8" s="8">
        <v>10853</v>
      </c>
      <c r="D8" s="8">
        <v>9400</v>
      </c>
      <c r="E8" s="8">
        <v>12368</v>
      </c>
      <c r="F8" s="8">
        <v>15796</v>
      </c>
      <c r="G8" s="8">
        <v>12999</v>
      </c>
      <c r="H8" s="8">
        <v>12209</v>
      </c>
      <c r="I8" s="8">
        <v>18001</v>
      </c>
      <c r="J8" s="8">
        <v>17055</v>
      </c>
      <c r="K8" s="8">
        <v>22735</v>
      </c>
      <c r="L8" s="8">
        <v>25796</v>
      </c>
      <c r="M8" s="70">
        <v>31041</v>
      </c>
      <c r="N8" s="70">
        <v>30514</v>
      </c>
      <c r="O8" s="70">
        <v>31261</v>
      </c>
      <c r="P8" s="70">
        <f>42425</f>
        <v>42425</v>
      </c>
      <c r="Q8" s="70"/>
    </row>
    <row r="9" spans="1:17" x14ac:dyDescent="0.2">
      <c r="A9" s="6" t="s">
        <v>7</v>
      </c>
      <c r="B9" s="7" t="s">
        <v>5</v>
      </c>
      <c r="C9" s="8">
        <f>PL!B17</f>
        <v>10853</v>
      </c>
      <c r="D9" s="8">
        <f>PL!C17</f>
        <v>9400</v>
      </c>
      <c r="E9" s="8">
        <f>PL!D17</f>
        <v>12368</v>
      </c>
      <c r="F9" s="8">
        <f>PL!E17</f>
        <v>15796</v>
      </c>
      <c r="G9" s="8">
        <f>PL!F17</f>
        <v>12999</v>
      </c>
      <c r="H9" s="8">
        <f>PL!G17</f>
        <v>12209</v>
      </c>
      <c r="I9" s="8">
        <f>PL!H17</f>
        <v>18001</v>
      </c>
      <c r="J9" s="8">
        <f>PL!I17</f>
        <v>17055</v>
      </c>
      <c r="K9" s="8">
        <f>PL!J17</f>
        <v>20057</v>
      </c>
      <c r="L9" s="8">
        <f>PL!K17</f>
        <v>21915</v>
      </c>
      <c r="M9" s="8">
        <f>PL!L17</f>
        <v>27782</v>
      </c>
      <c r="N9" s="8">
        <v>28203</v>
      </c>
      <c r="O9" s="8">
        <v>29971</v>
      </c>
      <c r="P9" s="8">
        <f>41378</f>
        <v>41378</v>
      </c>
      <c r="Q9" s="8"/>
    </row>
    <row r="10" spans="1:17" x14ac:dyDescent="0.2">
      <c r="A10" s="6" t="s">
        <v>8</v>
      </c>
      <c r="B10" s="7" t="s">
        <v>5</v>
      </c>
      <c r="C10" s="8">
        <v>8201</v>
      </c>
      <c r="D10" s="8">
        <v>6931</v>
      </c>
      <c r="E10" s="8">
        <v>9430</v>
      </c>
      <c r="F10" s="8">
        <v>10611</v>
      </c>
      <c r="G10" s="8">
        <v>7675</v>
      </c>
      <c r="H10" s="8">
        <v>7301</v>
      </c>
      <c r="I10" s="8">
        <v>14823</v>
      </c>
      <c r="J10" s="8">
        <v>6118</v>
      </c>
      <c r="K10" s="8">
        <v>11175</v>
      </c>
      <c r="L10" s="8">
        <v>16482</v>
      </c>
      <c r="M10" s="6">
        <f>PL!L58</f>
        <v>21139</v>
      </c>
      <c r="N10" s="64">
        <v>18795</v>
      </c>
      <c r="O10" s="64">
        <v>19425</v>
      </c>
      <c r="P10" s="64">
        <f>28693</f>
        <v>28693</v>
      </c>
      <c r="Q10" s="64"/>
    </row>
    <row r="11" spans="1:17" x14ac:dyDescent="0.2">
      <c r="A11" s="6" t="s">
        <v>9</v>
      </c>
      <c r="B11" s="7" t="s">
        <v>5</v>
      </c>
      <c r="C11" s="8">
        <v>8201</v>
      </c>
      <c r="D11" s="8">
        <v>6931</v>
      </c>
      <c r="E11" s="8">
        <v>9430</v>
      </c>
      <c r="F11" s="8">
        <v>10611</v>
      </c>
      <c r="G11" s="8">
        <v>7675</v>
      </c>
      <c r="H11" s="8">
        <v>7301</v>
      </c>
      <c r="I11" s="8">
        <v>14823</v>
      </c>
      <c r="J11" s="8">
        <v>6118</v>
      </c>
      <c r="K11" s="8">
        <v>8497</v>
      </c>
      <c r="L11" s="8">
        <v>12601</v>
      </c>
      <c r="M11" s="6">
        <f>PL!L56</f>
        <v>17880</v>
      </c>
      <c r="N11" s="64">
        <v>16484</v>
      </c>
      <c r="O11" s="64">
        <v>18135</v>
      </c>
      <c r="P11" s="64">
        <f>27646</f>
        <v>27646</v>
      </c>
      <c r="Q11" s="64"/>
    </row>
    <row r="12" spans="1:17" x14ac:dyDescent="0.2">
      <c r="A12" s="6" t="s">
        <v>10</v>
      </c>
      <c r="B12" s="7" t="s">
        <v>5</v>
      </c>
      <c r="C12" s="8">
        <f>PL!B34</f>
        <v>7440</v>
      </c>
      <c r="D12" s="8">
        <f>PL!C34</f>
        <v>5000</v>
      </c>
      <c r="E12" s="8">
        <f>PL!D34</f>
        <v>6664</v>
      </c>
      <c r="F12" s="8">
        <f>PL!E34</f>
        <v>8369</v>
      </c>
      <c r="G12" s="8">
        <f>PL!F34</f>
        <v>5429</v>
      </c>
      <c r="H12" s="8">
        <f>PL!G34</f>
        <v>4902</v>
      </c>
      <c r="I12" s="8">
        <f>PL!H34</f>
        <v>7893</v>
      </c>
      <c r="J12" s="8">
        <f>PL!I34</f>
        <v>-700</v>
      </c>
      <c r="K12" s="8">
        <f>PL!J34</f>
        <v>186</v>
      </c>
      <c r="L12" s="8">
        <f>PL!K34</f>
        <v>2036</v>
      </c>
      <c r="M12" s="8">
        <f>PL!L34</f>
        <v>3007</v>
      </c>
      <c r="N12" s="8">
        <v>13001</v>
      </c>
      <c r="O12" s="8">
        <v>-3370</v>
      </c>
      <c r="P12" s="8">
        <f>-6914</f>
        <v>-6914</v>
      </c>
      <c r="Q12" s="8"/>
    </row>
    <row r="13" spans="1:17" x14ac:dyDescent="0.2">
      <c r="A13" s="9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P13" s="6"/>
      <c r="Q13" s="6"/>
    </row>
    <row r="14" spans="1:17" x14ac:dyDescent="0.2">
      <c r="A14" s="5" t="s">
        <v>11</v>
      </c>
      <c r="B14" s="10"/>
      <c r="C14" s="11"/>
      <c r="D14" s="11"/>
      <c r="E14" s="11"/>
      <c r="F14" s="11"/>
      <c r="G14" s="11"/>
      <c r="H14" s="11"/>
      <c r="I14" s="11"/>
      <c r="J14" s="11"/>
      <c r="K14" s="11"/>
      <c r="L14" s="11"/>
      <c r="P14" s="6"/>
      <c r="Q14" s="6"/>
    </row>
    <row r="15" spans="1:17" x14ac:dyDescent="0.2">
      <c r="A15" s="9" t="s">
        <v>12</v>
      </c>
      <c r="B15" s="7" t="s">
        <v>5</v>
      </c>
      <c r="C15" s="8">
        <v>10406</v>
      </c>
      <c r="D15" s="8">
        <v>16636</v>
      </c>
      <c r="E15" s="8">
        <v>13219</v>
      </c>
      <c r="F15" s="8">
        <v>16291</v>
      </c>
      <c r="G15" s="8">
        <v>19414</v>
      </c>
      <c r="H15" s="8">
        <v>18054</v>
      </c>
      <c r="I15" s="8">
        <v>23987</v>
      </c>
      <c r="J15" s="8">
        <v>20912</v>
      </c>
      <c r="K15" s="8">
        <v>52692</v>
      </c>
      <c r="L15" s="8">
        <v>50505</v>
      </c>
      <c r="M15" s="8">
        <v>83438</v>
      </c>
      <c r="N15" s="8">
        <v>93088</v>
      </c>
      <c r="O15" s="8">
        <v>118611</v>
      </c>
      <c r="P15" s="8">
        <f>176593</f>
        <v>176593</v>
      </c>
      <c r="Q15" s="8"/>
    </row>
    <row r="16" spans="1:17" x14ac:dyDescent="0.2">
      <c r="A16" s="9" t="s">
        <v>13</v>
      </c>
      <c r="B16" s="7" t="s">
        <v>5</v>
      </c>
      <c r="C16" s="8">
        <v>10406</v>
      </c>
      <c r="D16" s="8">
        <v>16636</v>
      </c>
      <c r="E16" s="8">
        <v>13219</v>
      </c>
      <c r="F16" s="8">
        <v>16291</v>
      </c>
      <c r="G16" s="8">
        <v>19414</v>
      </c>
      <c r="H16" s="8">
        <v>18054</v>
      </c>
      <c r="I16" s="8">
        <v>23987</v>
      </c>
      <c r="J16" s="8">
        <v>20912</v>
      </c>
      <c r="K16" s="8">
        <v>52692</v>
      </c>
      <c r="L16" s="8">
        <v>45510</v>
      </c>
      <c r="M16" s="8">
        <v>47210</v>
      </c>
      <c r="N16" s="8">
        <v>38326</v>
      </c>
      <c r="O16" s="8">
        <f>O15-O17</f>
        <v>46763</v>
      </c>
      <c r="P16" s="8">
        <f>73467</f>
        <v>73467</v>
      </c>
      <c r="Q16" s="8"/>
    </row>
    <row r="17" spans="1:17" x14ac:dyDescent="0.2">
      <c r="A17" s="9" t="s">
        <v>14</v>
      </c>
      <c r="B17" s="7" t="s">
        <v>5</v>
      </c>
      <c r="C17" s="8"/>
      <c r="D17" s="8"/>
      <c r="E17" s="8"/>
      <c r="F17" s="8"/>
      <c r="G17" s="8"/>
      <c r="H17" s="8"/>
      <c r="I17" s="8"/>
      <c r="J17" s="8"/>
      <c r="K17" s="8"/>
      <c r="L17" s="8">
        <v>4995</v>
      </c>
      <c r="M17" s="8">
        <v>36228</v>
      </c>
      <c r="N17" s="8">
        <v>54762</v>
      </c>
      <c r="O17" s="8">
        <v>71848</v>
      </c>
      <c r="P17" s="8">
        <f>103126</f>
        <v>103126</v>
      </c>
      <c r="Q17" s="8"/>
    </row>
    <row r="18" spans="1:17" x14ac:dyDescent="0.2">
      <c r="A18" s="9" t="s">
        <v>15</v>
      </c>
      <c r="B18" s="7" t="s">
        <v>5</v>
      </c>
      <c r="C18" s="8">
        <v>15768</v>
      </c>
      <c r="D18" s="8">
        <v>17526</v>
      </c>
      <c r="E18" s="8">
        <v>13037</v>
      </c>
      <c r="F18" s="8">
        <v>15655</v>
      </c>
      <c r="G18" s="8">
        <v>12017</v>
      </c>
      <c r="H18" s="8">
        <v>10206</v>
      </c>
      <c r="I18" s="8">
        <v>14278</v>
      </c>
      <c r="J18" s="8">
        <v>23066</v>
      </c>
      <c r="K18" s="8">
        <v>31128</v>
      </c>
      <c r="L18" s="8">
        <v>25930</v>
      </c>
      <c r="M18" s="8">
        <v>44629</v>
      </c>
      <c r="N18" s="8">
        <v>23811</v>
      </c>
      <c r="O18" s="8">
        <v>9724</v>
      </c>
      <c r="P18" s="8">
        <f>4320</f>
        <v>4320</v>
      </c>
      <c r="Q18" s="8"/>
    </row>
    <row r="19" spans="1:17" x14ac:dyDescent="0.2">
      <c r="A19" s="9" t="s">
        <v>16</v>
      </c>
      <c r="B19" s="7" t="s">
        <v>5</v>
      </c>
      <c r="C19" s="8"/>
      <c r="D19" s="8"/>
      <c r="E19" s="8"/>
      <c r="F19" s="8"/>
      <c r="G19" s="8"/>
      <c r="H19" s="8"/>
      <c r="I19" s="8"/>
      <c r="J19" s="8"/>
      <c r="K19" s="8">
        <v>692</v>
      </c>
      <c r="L19" s="8">
        <v>23572</v>
      </c>
      <c r="M19" s="8">
        <v>59752</v>
      </c>
      <c r="N19" s="8">
        <v>60362</v>
      </c>
      <c r="O19" s="8">
        <v>77440</v>
      </c>
      <c r="P19" s="8">
        <f>112289</f>
        <v>112289</v>
      </c>
      <c r="Q19" s="8"/>
    </row>
    <row r="20" spans="1:17" x14ac:dyDescent="0.2">
      <c r="A20" s="9" t="s">
        <v>17</v>
      </c>
      <c r="B20" s="7" t="s">
        <v>5</v>
      </c>
      <c r="C20" s="8">
        <v>-5362</v>
      </c>
      <c r="D20" s="8">
        <v>-890</v>
      </c>
      <c r="E20" s="8">
        <v>182</v>
      </c>
      <c r="F20" s="8">
        <v>636</v>
      </c>
      <c r="G20" s="8">
        <v>7397</v>
      </c>
      <c r="H20" s="8">
        <v>7848</v>
      </c>
      <c r="I20" s="8">
        <v>9709</v>
      </c>
      <c r="J20" s="8">
        <v>-2154</v>
      </c>
      <c r="K20" s="8">
        <v>21484</v>
      </c>
      <c r="L20" s="8">
        <v>19580</v>
      </c>
      <c r="M20" s="8">
        <v>2581</v>
      </c>
      <c r="N20" s="8">
        <v>14515</v>
      </c>
      <c r="O20" s="8">
        <v>37039</v>
      </c>
      <c r="P20" s="8">
        <f>69147</f>
        <v>69147</v>
      </c>
      <c r="Q20" s="8"/>
    </row>
    <row r="21" spans="1:17" x14ac:dyDescent="0.2">
      <c r="A21" s="9" t="s">
        <v>18</v>
      </c>
      <c r="B21" s="7" t="s">
        <v>19</v>
      </c>
      <c r="C21" s="10">
        <f>C20/C11</f>
        <v>-0.65382270454822577</v>
      </c>
      <c r="D21" s="10">
        <f>D20/D11</f>
        <v>-0.12840859904775645</v>
      </c>
      <c r="E21" s="10">
        <v>0.02</v>
      </c>
      <c r="F21" s="10">
        <v>0.06</v>
      </c>
      <c r="G21" s="10">
        <v>0.96</v>
      </c>
      <c r="H21" s="10">
        <v>1.07</v>
      </c>
      <c r="I21" s="10">
        <v>0.65</v>
      </c>
      <c r="J21" s="12">
        <v>-0.35207584177835888</v>
      </c>
      <c r="K21" s="10">
        <v>1.81</v>
      </c>
      <c r="L21" s="10">
        <v>1.1879626258949161</v>
      </c>
      <c r="M21" s="71">
        <v>0.12209659870381759</v>
      </c>
      <c r="N21" s="71">
        <v>0.77</v>
      </c>
      <c r="O21" s="71">
        <v>1.9067696267696268</v>
      </c>
      <c r="P21" s="71">
        <f>2.41</f>
        <v>2.41</v>
      </c>
      <c r="Q21" s="71"/>
    </row>
    <row r="22" spans="1:17" x14ac:dyDescent="0.2">
      <c r="A22" s="9"/>
      <c r="B22" s="7"/>
      <c r="C22" s="10"/>
      <c r="D22" s="10"/>
      <c r="E22" s="10"/>
      <c r="F22" s="10"/>
      <c r="G22" s="10"/>
      <c r="H22" s="10"/>
      <c r="I22" s="10"/>
      <c r="J22" s="12"/>
      <c r="K22" s="10"/>
      <c r="L22" s="208"/>
      <c r="M22" s="208"/>
      <c r="N22" s="208"/>
      <c r="O22" s="208"/>
      <c r="P22" s="208"/>
      <c r="Q22" s="208"/>
    </row>
    <row r="23" spans="1:17" x14ac:dyDescent="0.2">
      <c r="A23" s="5" t="s">
        <v>20</v>
      </c>
      <c r="B23" s="10"/>
      <c r="C23" s="11"/>
      <c r="D23" s="11"/>
      <c r="E23" s="11"/>
      <c r="F23" s="11"/>
      <c r="G23" s="11"/>
      <c r="H23" s="11"/>
      <c r="I23" s="11"/>
      <c r="J23" s="11"/>
      <c r="K23" s="11"/>
      <c r="L23" s="11"/>
      <c r="P23" s="6"/>
      <c r="Q23" s="6"/>
    </row>
    <row r="24" spans="1:17" x14ac:dyDescent="0.2">
      <c r="A24" s="9" t="s">
        <v>21</v>
      </c>
      <c r="B24" s="7" t="s">
        <v>5</v>
      </c>
      <c r="C24" s="8">
        <v>-2775</v>
      </c>
      <c r="D24" s="8">
        <v>-3027</v>
      </c>
      <c r="E24" s="8">
        <v>678</v>
      </c>
      <c r="F24" s="8">
        <v>2099</v>
      </c>
      <c r="G24" s="8">
        <v>-3297</v>
      </c>
      <c r="H24" s="8">
        <v>4040</v>
      </c>
      <c r="I24" s="8">
        <v>2681</v>
      </c>
      <c r="J24" s="8">
        <v>17403</v>
      </c>
      <c r="K24" s="8">
        <v>13336</v>
      </c>
      <c r="L24" s="8">
        <v>3906</v>
      </c>
      <c r="M24" s="8">
        <v>-17342</v>
      </c>
      <c r="N24" s="8">
        <v>-45552</v>
      </c>
      <c r="O24" s="8">
        <v>-40516</v>
      </c>
      <c r="P24" s="8">
        <f>-79020</f>
        <v>-79020</v>
      </c>
      <c r="Q24" s="8"/>
    </row>
    <row r="25" spans="1:17" x14ac:dyDescent="0.2">
      <c r="A25" s="9" t="s">
        <v>22</v>
      </c>
      <c r="B25" s="7" t="s">
        <v>5</v>
      </c>
      <c r="C25" s="8"/>
      <c r="D25" s="8"/>
      <c r="E25" s="8"/>
      <c r="F25" s="8"/>
      <c r="G25" s="8"/>
      <c r="H25" s="8"/>
      <c r="I25" s="8"/>
      <c r="J25" s="8"/>
      <c r="K25" s="8">
        <v>14028</v>
      </c>
      <c r="L25" s="8">
        <v>26786</v>
      </c>
      <c r="M25" s="8">
        <v>18838</v>
      </c>
      <c r="N25" s="8">
        <f>N24+N28+N29</f>
        <v>-17780</v>
      </c>
      <c r="O25" s="8">
        <f>O24+O28+O29</f>
        <v>-5435</v>
      </c>
      <c r="P25" s="8">
        <f>-23793</f>
        <v>-23793</v>
      </c>
      <c r="Q25" s="8"/>
    </row>
    <row r="26" spans="1:17" x14ac:dyDescent="0.2">
      <c r="A26" s="9" t="s">
        <v>23</v>
      </c>
      <c r="B26" s="7" t="s">
        <v>5</v>
      </c>
      <c r="C26" s="8">
        <v>-4482</v>
      </c>
      <c r="D26" s="8">
        <v>-4897</v>
      </c>
      <c r="E26" s="8">
        <v>-1462</v>
      </c>
      <c r="F26" s="8">
        <v>-76</v>
      </c>
      <c r="G26" s="8">
        <v>-5994</v>
      </c>
      <c r="H26" s="8">
        <v>819</v>
      </c>
      <c r="I26" s="8">
        <v>243</v>
      </c>
      <c r="J26" s="8">
        <v>14672</v>
      </c>
      <c r="K26" s="8">
        <v>-16624</v>
      </c>
      <c r="L26" s="8">
        <v>-588</v>
      </c>
      <c r="M26" s="8">
        <v>-21623</v>
      </c>
      <c r="N26" s="8">
        <v>-51705</v>
      </c>
      <c r="O26" s="8">
        <v>-57270</v>
      </c>
      <c r="P26" s="8">
        <f>-95015</f>
        <v>-95015</v>
      </c>
      <c r="Q26" s="8"/>
    </row>
    <row r="27" spans="1:17" x14ac:dyDescent="0.2">
      <c r="A27" s="9" t="s">
        <v>24</v>
      </c>
      <c r="B27" s="7" t="s">
        <v>5</v>
      </c>
      <c r="C27" s="8"/>
      <c r="D27" s="8"/>
      <c r="E27" s="8"/>
      <c r="F27" s="8"/>
      <c r="G27" s="8"/>
      <c r="H27" s="8"/>
      <c r="I27" s="8"/>
      <c r="J27" s="8"/>
      <c r="K27" s="8">
        <v>-15932</v>
      </c>
      <c r="L27" s="8">
        <v>22292</v>
      </c>
      <c r="M27" s="8">
        <v>14557</v>
      </c>
      <c r="N27" s="8">
        <f>N26+N28+N29</f>
        <v>-23933</v>
      </c>
      <c r="O27" s="8">
        <f>O26+O28+O29</f>
        <v>-22189</v>
      </c>
      <c r="P27" s="8">
        <f>-39788</f>
        <v>-39788</v>
      </c>
      <c r="Q27" s="8"/>
    </row>
    <row r="28" spans="1:17" x14ac:dyDescent="0.2">
      <c r="A28" s="9" t="s">
        <v>25</v>
      </c>
      <c r="B28" s="7" t="s">
        <v>5</v>
      </c>
      <c r="C28" s="8"/>
      <c r="D28" s="8"/>
      <c r="E28" s="8"/>
      <c r="F28" s="8"/>
      <c r="G28" s="8"/>
      <c r="H28" s="8"/>
      <c r="I28" s="8"/>
      <c r="J28" s="8"/>
      <c r="K28" s="8">
        <v>692</v>
      </c>
      <c r="L28" s="8">
        <v>22880</v>
      </c>
      <c r="M28" s="8">
        <v>36180</v>
      </c>
      <c r="N28" s="8">
        <v>610</v>
      </c>
      <c r="O28" s="8">
        <v>17078</v>
      </c>
      <c r="P28" s="8">
        <f>34849</f>
        <v>34849</v>
      </c>
      <c r="Q28" s="8"/>
    </row>
    <row r="29" spans="1:17" x14ac:dyDescent="0.2">
      <c r="A29" s="9" t="s">
        <v>402</v>
      </c>
      <c r="B29" s="7" t="s">
        <v>5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>
        <v>27162</v>
      </c>
      <c r="O29" s="8">
        <v>18003</v>
      </c>
      <c r="P29" s="8">
        <f>20378</f>
        <v>20378</v>
      </c>
      <c r="Q29" s="8"/>
    </row>
    <row r="30" spans="1:17" x14ac:dyDescent="0.2">
      <c r="A30" s="9"/>
      <c r="B30" s="7"/>
      <c r="C30" s="8"/>
      <c r="D30" s="8"/>
      <c r="E30" s="8"/>
      <c r="F30" s="8"/>
      <c r="G30" s="8"/>
      <c r="H30" s="8"/>
      <c r="I30" s="8"/>
      <c r="J30" s="8"/>
      <c r="K30" s="8"/>
      <c r="L30" s="8"/>
      <c r="P30" s="6"/>
      <c r="Q30" s="6"/>
    </row>
    <row r="31" spans="1:17" x14ac:dyDescent="0.2">
      <c r="A31" s="5" t="s">
        <v>26</v>
      </c>
      <c r="B31" s="7"/>
      <c r="C31" s="11"/>
      <c r="D31" s="11"/>
      <c r="E31" s="11"/>
      <c r="F31" s="11"/>
      <c r="G31" s="11"/>
      <c r="H31" s="11"/>
      <c r="I31" s="11"/>
      <c r="J31" s="11"/>
      <c r="K31" s="11"/>
      <c r="L31" s="11"/>
      <c r="P31" s="6"/>
      <c r="Q31" s="6"/>
    </row>
    <row r="32" spans="1:17" x14ac:dyDescent="0.2">
      <c r="A32" s="9" t="s">
        <v>27</v>
      </c>
      <c r="B32" s="7" t="s">
        <v>5</v>
      </c>
      <c r="C32" s="8">
        <v>18306</v>
      </c>
      <c r="D32" s="8">
        <v>23739</v>
      </c>
      <c r="E32" s="8">
        <v>30227</v>
      </c>
      <c r="F32" s="8">
        <v>39961.02476</v>
      </c>
      <c r="G32" s="8">
        <v>35079.970713895411</v>
      </c>
      <c r="H32" s="8">
        <v>47444</v>
      </c>
      <c r="I32" s="8">
        <v>50239.967601419994</v>
      </c>
      <c r="J32" s="8">
        <v>68731.252889259995</v>
      </c>
      <c r="K32" s="8">
        <v>77627.406625240008</v>
      </c>
      <c r="L32" s="8">
        <v>79922.186658060004</v>
      </c>
      <c r="M32" s="8">
        <f>'Operating Results'!M7</f>
        <v>84387.993910000005</v>
      </c>
      <c r="N32" s="8">
        <v>58652</v>
      </c>
      <c r="O32" s="8">
        <v>105564</v>
      </c>
      <c r="P32" s="8">
        <f>146241</f>
        <v>146241</v>
      </c>
      <c r="Q32" s="8">
        <v>153538</v>
      </c>
    </row>
    <row r="33" spans="1:17" x14ac:dyDescent="0.2">
      <c r="A33" s="9" t="s">
        <v>28</v>
      </c>
      <c r="B33" s="7" t="s">
        <v>5</v>
      </c>
      <c r="C33" s="8"/>
      <c r="D33" s="8"/>
      <c r="E33" s="8">
        <v>26073</v>
      </c>
      <c r="F33" s="8">
        <v>35335</v>
      </c>
      <c r="G33" s="8">
        <v>25845</v>
      </c>
      <c r="H33" s="8">
        <v>39723.422637700001</v>
      </c>
      <c r="I33" s="8">
        <v>46146.695167350001</v>
      </c>
      <c r="J33" s="8">
        <v>62785.436452919996</v>
      </c>
      <c r="K33" s="8">
        <v>77713.387916539999</v>
      </c>
      <c r="L33" s="8">
        <v>81985.030014120013</v>
      </c>
      <c r="M33" s="64">
        <f>'Operating Results'!M8</f>
        <v>84093.78253756999</v>
      </c>
      <c r="N33" s="8">
        <v>60386</v>
      </c>
      <c r="O33" s="8">
        <v>82108</v>
      </c>
      <c r="P33" s="8">
        <f>95575</f>
        <v>95575</v>
      </c>
      <c r="Q33" s="8">
        <v>100507</v>
      </c>
    </row>
    <row r="34" spans="1:17" x14ac:dyDescent="0.2">
      <c r="A34" s="9" t="s">
        <v>29</v>
      </c>
      <c r="B34" s="7" t="s">
        <v>30</v>
      </c>
      <c r="C34" s="8">
        <v>67797</v>
      </c>
      <c r="D34" s="8">
        <v>75013</v>
      </c>
      <c r="E34" s="8">
        <v>84889</v>
      </c>
      <c r="F34" s="8">
        <v>87431</v>
      </c>
      <c r="G34" s="8">
        <v>91057.20360523343</v>
      </c>
      <c r="H34" s="8">
        <v>95649.762108517301</v>
      </c>
      <c r="I34" s="8">
        <v>98094.123288225688</v>
      </c>
      <c r="J34" s="8">
        <v>109445.30457033213</v>
      </c>
      <c r="K34" s="8">
        <v>123140.09552653086</v>
      </c>
      <c r="L34" s="8">
        <v>148500.69067665632</v>
      </c>
      <c r="M34" s="8">
        <f>'Operating Results'!M9</f>
        <v>189008.00940000001</v>
      </c>
      <c r="N34" s="8">
        <v>200591</v>
      </c>
      <c r="O34" s="8">
        <v>192904</v>
      </c>
      <c r="P34" s="8">
        <f>209183</f>
        <v>209183</v>
      </c>
      <c r="Q34" s="8">
        <v>228672</v>
      </c>
    </row>
    <row r="35" spans="1:17" x14ac:dyDescent="0.2">
      <c r="A35" s="9"/>
      <c r="B35" s="7"/>
      <c r="C35" s="8"/>
      <c r="D35" s="8"/>
      <c r="E35" s="8"/>
      <c r="F35" s="8"/>
      <c r="G35" s="8"/>
      <c r="H35" s="8"/>
      <c r="I35" s="8"/>
      <c r="J35" s="8"/>
      <c r="K35" s="8"/>
      <c r="L35" s="8"/>
      <c r="P35" s="6"/>
      <c r="Q35" s="6"/>
    </row>
    <row r="36" spans="1:17" x14ac:dyDescent="0.2">
      <c r="A36" s="13" t="s">
        <v>31</v>
      </c>
      <c r="B36" s="7"/>
      <c r="C36" s="11"/>
      <c r="D36" s="11"/>
      <c r="E36" s="11"/>
      <c r="F36" s="11"/>
      <c r="G36" s="11"/>
      <c r="H36" s="11"/>
      <c r="I36" s="11"/>
      <c r="J36" s="11"/>
      <c r="K36" s="11"/>
      <c r="L36" s="11"/>
      <c r="P36" s="6"/>
      <c r="Q36" s="6"/>
    </row>
    <row r="37" spans="1:17" x14ac:dyDescent="0.2">
      <c r="A37" s="9" t="s">
        <v>32</v>
      </c>
      <c r="B37" s="7" t="s">
        <v>33</v>
      </c>
      <c r="C37" s="8">
        <v>4192</v>
      </c>
      <c r="D37" s="8">
        <v>5797</v>
      </c>
      <c r="E37" s="8">
        <v>6876</v>
      </c>
      <c r="F37" s="8">
        <v>9045</v>
      </c>
      <c r="G37" s="8">
        <v>7841</v>
      </c>
      <c r="H37" s="8">
        <v>9590</v>
      </c>
      <c r="I37" s="8">
        <v>9916</v>
      </c>
      <c r="J37" s="8">
        <v>12312</v>
      </c>
      <c r="K37" s="8">
        <v>12040</v>
      </c>
      <c r="L37" s="8">
        <v>9725</v>
      </c>
      <c r="M37" s="6">
        <f>'Operating Results'!M12</f>
        <v>8560</v>
      </c>
      <c r="N37" s="64">
        <v>6457</v>
      </c>
      <c r="O37" s="64">
        <v>11689</v>
      </c>
      <c r="P37" s="64">
        <f>14304</f>
        <v>14304</v>
      </c>
      <c r="Q37" s="64">
        <v>12509</v>
      </c>
    </row>
    <row r="38" spans="1:17" x14ac:dyDescent="0.2">
      <c r="A38" s="9" t="s">
        <v>34</v>
      </c>
      <c r="B38" s="7" t="s">
        <v>33</v>
      </c>
      <c r="C38" s="8"/>
      <c r="D38" s="8">
        <v>794</v>
      </c>
      <c r="E38" s="8">
        <v>1415</v>
      </c>
      <c r="F38" s="8">
        <v>2026</v>
      </c>
      <c r="G38" s="8">
        <v>1184</v>
      </c>
      <c r="H38" s="8">
        <v>2047</v>
      </c>
      <c r="I38" s="8">
        <v>3357</v>
      </c>
      <c r="J38" s="8">
        <v>5027</v>
      </c>
      <c r="K38" s="8">
        <v>4336</v>
      </c>
      <c r="L38" s="8">
        <v>4168</v>
      </c>
      <c r="M38" s="6">
        <f>'Operating Results'!M13</f>
        <v>3499</v>
      </c>
      <c r="N38" s="64">
        <v>2531</v>
      </c>
      <c r="O38" s="64">
        <v>5818</v>
      </c>
      <c r="P38" s="64">
        <f>4229</f>
        <v>4229</v>
      </c>
      <c r="Q38" s="64">
        <v>2613</v>
      </c>
    </row>
    <row r="39" spans="1:17" x14ac:dyDescent="0.2">
      <c r="A39" s="9" t="s">
        <v>35</v>
      </c>
      <c r="B39" s="7" t="s">
        <v>36</v>
      </c>
      <c r="C39" s="8"/>
      <c r="D39" s="8">
        <v>14</v>
      </c>
      <c r="E39" s="8">
        <v>21</v>
      </c>
      <c r="F39" s="8">
        <v>22</v>
      </c>
      <c r="G39" s="8">
        <v>15</v>
      </c>
      <c r="H39" s="8">
        <v>21</v>
      </c>
      <c r="I39" s="8">
        <v>34</v>
      </c>
      <c r="J39" s="8">
        <v>41</v>
      </c>
      <c r="K39" s="14">
        <v>36</v>
      </c>
      <c r="L39" s="14">
        <v>43</v>
      </c>
      <c r="M39" s="72">
        <f>'Operating Results'!M14</f>
        <v>40.876168224299064</v>
      </c>
      <c r="N39" s="72">
        <v>39</v>
      </c>
      <c r="O39" s="72">
        <v>50</v>
      </c>
      <c r="P39" s="72">
        <f>30</f>
        <v>30</v>
      </c>
      <c r="Q39" s="72">
        <v>21</v>
      </c>
    </row>
    <row r="40" spans="1:17" x14ac:dyDescent="0.2">
      <c r="A40" s="9"/>
      <c r="B40" s="7"/>
      <c r="C40" s="8"/>
      <c r="D40" s="8"/>
      <c r="E40" s="8"/>
      <c r="F40" s="8"/>
      <c r="G40" s="8"/>
      <c r="H40" s="8"/>
      <c r="I40" s="8"/>
      <c r="J40" s="8"/>
      <c r="K40" s="14"/>
      <c r="L40" s="14"/>
      <c r="P40" s="6"/>
      <c r="Q40" s="6"/>
    </row>
    <row r="41" spans="1:17" x14ac:dyDescent="0.2">
      <c r="A41" s="13" t="s">
        <v>37</v>
      </c>
      <c r="B41" s="7"/>
      <c r="C41" s="11"/>
      <c r="D41" s="11"/>
      <c r="E41" s="11"/>
      <c r="F41" s="11"/>
      <c r="G41" s="11"/>
      <c r="H41" s="11"/>
      <c r="I41" s="11"/>
      <c r="J41" s="11"/>
      <c r="K41" s="11"/>
      <c r="L41" s="11"/>
      <c r="P41" s="6"/>
      <c r="Q41" s="6"/>
    </row>
    <row r="42" spans="1:17" x14ac:dyDescent="0.2">
      <c r="A42" s="9" t="s">
        <v>27</v>
      </c>
      <c r="B42" s="7" t="s">
        <v>38</v>
      </c>
      <c r="C42" s="8">
        <v>270012</v>
      </c>
      <c r="D42" s="8">
        <v>316466</v>
      </c>
      <c r="E42" s="8">
        <v>356075</v>
      </c>
      <c r="F42" s="8">
        <v>457055.99999999994</v>
      </c>
      <c r="G42" s="8">
        <v>385252.00999999983</v>
      </c>
      <c r="H42" s="8">
        <v>496008</v>
      </c>
      <c r="I42" s="8">
        <v>512160.82999999996</v>
      </c>
      <c r="J42" s="8">
        <v>627996.36000000057</v>
      </c>
      <c r="K42" s="8">
        <v>630399.10999999975</v>
      </c>
      <c r="L42" s="8">
        <v>538194.04</v>
      </c>
      <c r="M42" s="8">
        <f>'Operating Results'!M17</f>
        <v>446479.84000000008</v>
      </c>
      <c r="N42" s="8">
        <v>292396</v>
      </c>
      <c r="O42" s="8">
        <v>547235</v>
      </c>
      <c r="P42" s="8">
        <f>699107</f>
        <v>699107</v>
      </c>
      <c r="Q42" s="8">
        <v>671437</v>
      </c>
    </row>
    <row r="43" spans="1:17" x14ac:dyDescent="0.2">
      <c r="A43" s="9" t="s">
        <v>39</v>
      </c>
      <c r="B43" s="7" t="s">
        <v>38</v>
      </c>
      <c r="C43" s="8">
        <v>328435</v>
      </c>
      <c r="D43" s="8">
        <v>363120</v>
      </c>
      <c r="E43" s="8">
        <v>468248</v>
      </c>
      <c r="F43" s="8">
        <v>583483</v>
      </c>
      <c r="G43" s="8">
        <v>502203</v>
      </c>
      <c r="H43" s="8">
        <v>420325</v>
      </c>
      <c r="I43" s="8">
        <v>422946</v>
      </c>
      <c r="J43" s="8">
        <v>479339</v>
      </c>
      <c r="K43" s="8">
        <v>621866.93999999994</v>
      </c>
      <c r="L43" s="8">
        <v>540325.10000000009</v>
      </c>
      <c r="M43" s="8">
        <f>'Operating Results'!M18</f>
        <v>421209.4</v>
      </c>
      <c r="N43" s="8">
        <v>734773</v>
      </c>
      <c r="O43" s="8">
        <v>416726</v>
      </c>
      <c r="P43" s="8">
        <f>161232</f>
        <v>161232</v>
      </c>
      <c r="Q43" s="8">
        <v>483472</v>
      </c>
    </row>
    <row r="44" spans="1:17" x14ac:dyDescent="0.2">
      <c r="A44" s="9"/>
      <c r="B44" s="7"/>
      <c r="C44" s="8"/>
      <c r="D44" s="8"/>
      <c r="E44" s="8"/>
      <c r="F44" s="8"/>
      <c r="G44" s="8"/>
      <c r="H44" s="8"/>
      <c r="I44" s="8"/>
      <c r="J44" s="8"/>
      <c r="K44" s="8"/>
      <c r="L44" s="8"/>
      <c r="P44" s="6"/>
      <c r="Q44" s="6"/>
    </row>
    <row r="45" spans="1:17" x14ac:dyDescent="0.2">
      <c r="A45" s="13" t="s">
        <v>40</v>
      </c>
      <c r="B45" s="7"/>
      <c r="C45" s="11"/>
      <c r="D45" s="11"/>
      <c r="E45" s="11"/>
      <c r="F45" s="11"/>
      <c r="G45" s="11"/>
      <c r="H45" s="11"/>
      <c r="I45" s="11"/>
      <c r="J45" s="11"/>
      <c r="K45" s="11"/>
      <c r="L45" s="11"/>
      <c r="P45" s="6"/>
      <c r="Q45" s="6"/>
    </row>
    <row r="46" spans="1:17" x14ac:dyDescent="0.2">
      <c r="A46" s="9" t="s">
        <v>41</v>
      </c>
      <c r="B46" s="7" t="s">
        <v>5</v>
      </c>
      <c r="C46" s="14">
        <v>55185</v>
      </c>
      <c r="D46" s="14">
        <v>71934</v>
      </c>
      <c r="E46" s="14">
        <v>89252.554799999998</v>
      </c>
      <c r="F46" s="14">
        <v>104286</v>
      </c>
      <c r="G46" s="14">
        <v>104385</v>
      </c>
      <c r="H46" s="14">
        <v>115818.19999999998</v>
      </c>
      <c r="I46" s="14">
        <v>135196.66637727781</v>
      </c>
      <c r="J46" s="14">
        <v>186907.59125065611</v>
      </c>
      <c r="K46" s="14">
        <v>188499.00000200002</v>
      </c>
      <c r="L46" s="14">
        <v>203530.00000100001</v>
      </c>
      <c r="M46" s="14">
        <v>270046.00000100001</v>
      </c>
      <c r="N46" s="14">
        <v>288374</v>
      </c>
      <c r="O46" s="14">
        <v>302526</v>
      </c>
      <c r="P46" s="14">
        <f>304974</f>
        <v>304974</v>
      </c>
      <c r="Q46" s="14"/>
    </row>
    <row r="47" spans="1:17" x14ac:dyDescent="0.2">
      <c r="A47" s="9" t="s">
        <v>42</v>
      </c>
      <c r="B47" s="7" t="s">
        <v>5</v>
      </c>
      <c r="C47" s="14">
        <v>55185</v>
      </c>
      <c r="D47" s="14">
        <v>71934</v>
      </c>
      <c r="E47" s="14">
        <v>89252.554799999998</v>
      </c>
      <c r="F47" s="14">
        <v>104286</v>
      </c>
      <c r="G47" s="14">
        <v>104384</v>
      </c>
      <c r="H47" s="14">
        <v>115818.19999999998</v>
      </c>
      <c r="I47" s="14">
        <v>126924.99810065069</v>
      </c>
      <c r="J47" s="14">
        <v>176924.55421948357</v>
      </c>
      <c r="K47" s="14">
        <v>176053.00000200002</v>
      </c>
      <c r="L47" s="14">
        <v>190890.00000100001</v>
      </c>
      <c r="M47" s="14">
        <v>255761.00000100001</v>
      </c>
      <c r="N47" s="14">
        <v>272064</v>
      </c>
      <c r="O47" s="14">
        <v>285984</v>
      </c>
      <c r="P47" s="14">
        <f>284288</f>
        <v>284288</v>
      </c>
      <c r="Q47" s="14"/>
    </row>
    <row r="48" spans="1:17" x14ac:dyDescent="0.2">
      <c r="A48" s="15" t="s">
        <v>43</v>
      </c>
      <c r="B48" s="16" t="s">
        <v>44</v>
      </c>
      <c r="C48" s="17">
        <v>3245</v>
      </c>
      <c r="D48" s="17">
        <v>3575</v>
      </c>
      <c r="E48" s="17">
        <v>3442.2999999999997</v>
      </c>
      <c r="F48" s="17">
        <v>3114.3</v>
      </c>
      <c r="G48" s="17">
        <v>2718.8999999999996</v>
      </c>
      <c r="H48" s="17">
        <v>2818.2229412474217</v>
      </c>
      <c r="I48" s="17">
        <v>2818.40783054234</v>
      </c>
      <c r="J48" s="17">
        <v>3357.3835013648318</v>
      </c>
      <c r="K48" s="17">
        <v>3327.5928982373121</v>
      </c>
      <c r="L48" s="17">
        <v>2840.3881505620302</v>
      </c>
      <c r="M48" s="17">
        <f>6002970.75150467/1000</f>
        <v>6002.9707515046703</v>
      </c>
      <c r="N48" s="17">
        <v>6412</v>
      </c>
      <c r="O48" s="17">
        <v>5884</v>
      </c>
      <c r="P48" s="17">
        <f>5485</f>
        <v>5485</v>
      </c>
      <c r="Q48" s="17"/>
    </row>
    <row r="49" spans="1:12" x14ac:dyDescent="0.2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">
      <c r="A50" s="18" t="s">
        <v>45</v>
      </c>
      <c r="B50" s="10"/>
      <c r="C50" s="10"/>
      <c r="D50" s="10"/>
    </row>
    <row r="52" spans="1:12" x14ac:dyDescent="0.2">
      <c r="G52" s="110"/>
    </row>
  </sheetData>
  <hyperlinks>
    <hyperlink ref="A3" location="Contents!A1" display="Back to Contents" xr:uid="{EEB2A708-1D69-4047-9321-D7237D4BD53A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Z51"/>
  <sheetViews>
    <sheetView showGridLines="0" tabSelected="1" zoomScale="90" zoomScaleNormal="90" workbookViewId="0">
      <pane xSplit="1" topLeftCell="B1" activePane="topRight" state="frozen"/>
      <selection pane="topRight" activeCell="Q32" sqref="Q32"/>
    </sheetView>
  </sheetViews>
  <sheetFormatPr defaultColWidth="9.140625" defaultRowHeight="14.25" outlineLevelCol="1" x14ac:dyDescent="0.2"/>
  <cols>
    <col min="1" max="1" width="51.85546875" style="41" bestFit="1" customWidth="1"/>
    <col min="2" max="2" width="9.140625" style="6"/>
    <col min="3" max="17" width="9.5703125" style="6" customWidth="1"/>
    <col min="18" max="18" width="9.140625" style="6"/>
    <col min="19" max="64" width="9.140625" style="6" customWidth="1" outlineLevel="1"/>
    <col min="65" max="71" width="9.140625" style="6" outlineLevel="1"/>
    <col min="72" max="76" width="9.140625" style="41" outlineLevel="1"/>
    <col min="77" max="78" width="9.85546875" style="41" bestFit="1" customWidth="1" outlineLevel="1"/>
    <col min="79" max="16384" width="9.140625" style="41"/>
  </cols>
  <sheetData>
    <row r="1" spans="1:78" x14ac:dyDescent="0.2">
      <c r="A1" s="68"/>
      <c r="B1" s="7"/>
      <c r="C1" s="10"/>
      <c r="D1" s="10"/>
      <c r="E1" s="10"/>
      <c r="F1" s="10"/>
      <c r="G1" s="10"/>
      <c r="H1" s="10"/>
      <c r="I1" s="1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</row>
    <row r="2" spans="1:78" ht="18" x14ac:dyDescent="0.25">
      <c r="A2" s="54" t="s">
        <v>46</v>
      </c>
      <c r="B2" s="7"/>
      <c r="C2" s="10"/>
      <c r="D2" s="10"/>
      <c r="E2" s="10"/>
      <c r="F2" s="10"/>
      <c r="G2" s="10"/>
      <c r="H2" s="10"/>
      <c r="I2" s="10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</row>
    <row r="3" spans="1:78" x14ac:dyDescent="0.2">
      <c r="A3" s="2" t="s">
        <v>1</v>
      </c>
      <c r="B3" s="7"/>
      <c r="C3" s="10"/>
      <c r="D3" s="10"/>
      <c r="E3" s="10"/>
      <c r="F3" s="10"/>
      <c r="G3" s="10"/>
      <c r="H3" s="10"/>
      <c r="I3" s="10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</row>
    <row r="4" spans="1:78" x14ac:dyDescent="0.2">
      <c r="A4" s="9"/>
      <c r="B4" s="7"/>
      <c r="C4" s="10"/>
      <c r="D4" s="10"/>
      <c r="E4" s="10"/>
      <c r="F4" s="10"/>
      <c r="G4" s="10"/>
      <c r="H4" s="10"/>
      <c r="I4" s="1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</row>
    <row r="5" spans="1:78" x14ac:dyDescent="0.2">
      <c r="A5" s="19"/>
      <c r="B5" s="106" t="s">
        <v>2</v>
      </c>
      <c r="C5" s="107">
        <v>2011</v>
      </c>
      <c r="D5" s="107">
        <v>2012</v>
      </c>
      <c r="E5" s="107">
        <v>2013</v>
      </c>
      <c r="F5" s="107">
        <v>2014</v>
      </c>
      <c r="G5" s="107">
        <v>2015</v>
      </c>
      <c r="H5" s="107">
        <v>2016</v>
      </c>
      <c r="I5" s="107">
        <v>2017</v>
      </c>
      <c r="J5" s="107">
        <v>2018</v>
      </c>
      <c r="K5" s="107">
        <v>2019</v>
      </c>
      <c r="L5" s="107">
        <v>2020</v>
      </c>
      <c r="M5" s="107">
        <v>2021</v>
      </c>
      <c r="N5" s="107">
        <v>2022</v>
      </c>
      <c r="O5" s="107">
        <v>2023</v>
      </c>
      <c r="P5" s="107">
        <v>2024</v>
      </c>
      <c r="Q5" s="107">
        <v>2025</v>
      </c>
      <c r="R5" s="108"/>
      <c r="S5" s="109" t="s">
        <v>47</v>
      </c>
      <c r="T5" s="109" t="s">
        <v>48</v>
      </c>
      <c r="U5" s="109" t="s">
        <v>49</v>
      </c>
      <c r="V5" s="109" t="s">
        <v>50</v>
      </c>
      <c r="W5" s="109" t="s">
        <v>51</v>
      </c>
      <c r="X5" s="109" t="s">
        <v>52</v>
      </c>
      <c r="Y5" s="109" t="s">
        <v>53</v>
      </c>
      <c r="Z5" s="109" t="s">
        <v>54</v>
      </c>
      <c r="AA5" s="109" t="s">
        <v>55</v>
      </c>
      <c r="AB5" s="109" t="s">
        <v>56</v>
      </c>
      <c r="AC5" s="109" t="s">
        <v>57</v>
      </c>
      <c r="AD5" s="109" t="s">
        <v>58</v>
      </c>
      <c r="AE5" s="109" t="s">
        <v>59</v>
      </c>
      <c r="AF5" s="109" t="s">
        <v>60</v>
      </c>
      <c r="AG5" s="109" t="s">
        <v>61</v>
      </c>
      <c r="AH5" s="109" t="s">
        <v>62</v>
      </c>
      <c r="AI5" s="109" t="s">
        <v>63</v>
      </c>
      <c r="AJ5" s="109" t="s">
        <v>64</v>
      </c>
      <c r="AK5" s="109" t="s">
        <v>65</v>
      </c>
      <c r="AL5" s="109" t="s">
        <v>66</v>
      </c>
      <c r="AM5" s="109" t="s">
        <v>67</v>
      </c>
      <c r="AN5" s="109" t="s">
        <v>68</v>
      </c>
      <c r="AO5" s="109" t="s">
        <v>69</v>
      </c>
      <c r="AP5" s="109" t="s">
        <v>70</v>
      </c>
      <c r="AQ5" s="109" t="s">
        <v>71</v>
      </c>
      <c r="AR5" s="109" t="s">
        <v>72</v>
      </c>
      <c r="AS5" s="109" t="s">
        <v>73</v>
      </c>
      <c r="AT5" s="109" t="s">
        <v>74</v>
      </c>
      <c r="AU5" s="109" t="s">
        <v>75</v>
      </c>
      <c r="AV5" s="109" t="s">
        <v>76</v>
      </c>
      <c r="AW5" s="109" t="s">
        <v>77</v>
      </c>
      <c r="AX5" s="109" t="s">
        <v>78</v>
      </c>
      <c r="AY5" s="109" t="s">
        <v>79</v>
      </c>
      <c r="AZ5" s="109" t="s">
        <v>80</v>
      </c>
      <c r="BA5" s="109" t="s">
        <v>81</v>
      </c>
      <c r="BB5" s="109" t="s">
        <v>82</v>
      </c>
      <c r="BC5" s="109" t="s">
        <v>83</v>
      </c>
      <c r="BD5" s="109" t="s">
        <v>84</v>
      </c>
      <c r="BE5" s="109" t="s">
        <v>85</v>
      </c>
      <c r="BF5" s="109" t="s">
        <v>86</v>
      </c>
      <c r="BG5" s="109" t="s">
        <v>87</v>
      </c>
      <c r="BH5" s="109" t="s">
        <v>88</v>
      </c>
      <c r="BI5" s="109" t="s">
        <v>89</v>
      </c>
      <c r="BJ5" s="109" t="s">
        <v>90</v>
      </c>
      <c r="BK5" s="109" t="s">
        <v>302</v>
      </c>
      <c r="BL5" s="109" t="s">
        <v>303</v>
      </c>
      <c r="BM5" s="109" t="s">
        <v>309</v>
      </c>
      <c r="BN5" s="109" t="s">
        <v>310</v>
      </c>
      <c r="BO5" s="109" t="s">
        <v>398</v>
      </c>
      <c r="BP5" s="109" t="s">
        <v>399</v>
      </c>
      <c r="BQ5" s="109" t="s">
        <v>400</v>
      </c>
      <c r="BR5" s="109" t="s">
        <v>401</v>
      </c>
      <c r="BS5" s="109" t="s">
        <v>423</v>
      </c>
      <c r="BT5" s="109" t="s">
        <v>424</v>
      </c>
      <c r="BU5" s="109" t="s">
        <v>427</v>
      </c>
      <c r="BV5" s="109" t="s">
        <v>428</v>
      </c>
      <c r="BW5" s="109" t="s">
        <v>436</v>
      </c>
      <c r="BX5" s="109" t="s">
        <v>481</v>
      </c>
      <c r="BY5" s="109" t="s">
        <v>485</v>
      </c>
      <c r="BZ5" s="109" t="s">
        <v>486</v>
      </c>
    </row>
    <row r="6" spans="1:78" x14ac:dyDescent="0.2">
      <c r="A6" s="5" t="s">
        <v>26</v>
      </c>
      <c r="B6" s="7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9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9"/>
      <c r="BL6" s="9"/>
      <c r="BM6" s="9"/>
      <c r="BT6" s="6"/>
      <c r="BU6" s="6"/>
      <c r="BV6" s="6"/>
    </row>
    <row r="7" spans="1:78" x14ac:dyDescent="0.2">
      <c r="A7" s="9" t="s">
        <v>27</v>
      </c>
      <c r="B7" s="7" t="s">
        <v>5</v>
      </c>
      <c r="C7" s="21">
        <f>SUM(S7:V7)</f>
        <v>18306</v>
      </c>
      <c r="D7" s="21">
        <f>SUM(W7:Z7)</f>
        <v>23739</v>
      </c>
      <c r="E7" s="21">
        <f>SUM(AA7:AD7)</f>
        <v>30227</v>
      </c>
      <c r="F7" s="21">
        <f>SUM(AE7:AH7)</f>
        <v>39961.02476</v>
      </c>
      <c r="G7" s="21">
        <f>SUM(AI7:AL7)</f>
        <v>35079.970713895411</v>
      </c>
      <c r="H7" s="21">
        <f>SUM(AM7:AP7)</f>
        <v>47444</v>
      </c>
      <c r="I7" s="21">
        <f>SUM(AQ7:AT7)</f>
        <v>50239.967601419994</v>
      </c>
      <c r="J7" s="21">
        <f>SUM(AU7:AX7)</f>
        <v>68731.252889259995</v>
      </c>
      <c r="K7" s="21">
        <f>SUM(AY7:BB7)</f>
        <v>77627.406625240008</v>
      </c>
      <c r="L7" s="21">
        <f>SUM(BC7:BF7)</f>
        <v>79922.186658060004</v>
      </c>
      <c r="M7" s="21">
        <f>SUM(BG7:BJ7)</f>
        <v>84387.993910000005</v>
      </c>
      <c r="N7" s="21">
        <f>SUM(BK7:BN7)</f>
        <v>58652</v>
      </c>
      <c r="O7" s="21">
        <f>SUM(BO7:BR7)</f>
        <v>105563.58845944001</v>
      </c>
      <c r="P7" s="21">
        <f>SUM(BS7:BV7)</f>
        <v>146241</v>
      </c>
      <c r="Q7" s="21">
        <f>SUM(BW7:BZ7)</f>
        <v>153538.43844214</v>
      </c>
      <c r="R7" s="9"/>
      <c r="S7" s="21">
        <v>4158</v>
      </c>
      <c r="T7" s="21">
        <v>3781</v>
      </c>
      <c r="U7" s="21">
        <v>4336</v>
      </c>
      <c r="V7" s="21">
        <v>6031</v>
      </c>
      <c r="W7" s="21">
        <v>5566</v>
      </c>
      <c r="X7" s="21">
        <v>5195</v>
      </c>
      <c r="Y7" s="21">
        <v>5563</v>
      </c>
      <c r="Z7" s="21">
        <v>7415</v>
      </c>
      <c r="AA7" s="21">
        <v>5923</v>
      </c>
      <c r="AB7" s="21">
        <v>6746</v>
      </c>
      <c r="AC7" s="21">
        <v>8152</v>
      </c>
      <c r="AD7" s="21">
        <v>9406</v>
      </c>
      <c r="AE7" s="21">
        <v>9076.8653331200003</v>
      </c>
      <c r="AF7" s="21">
        <v>8095.1199196799998</v>
      </c>
      <c r="AG7" s="21">
        <v>9480.1498460799994</v>
      </c>
      <c r="AH7" s="21">
        <v>13308.88966112</v>
      </c>
      <c r="AI7" s="21">
        <v>3803.6569252554141</v>
      </c>
      <c r="AJ7" s="21">
        <v>4109.9257364599998</v>
      </c>
      <c r="AK7" s="21">
        <v>11392.218554999999</v>
      </c>
      <c r="AL7" s="21">
        <v>15774.169497179999</v>
      </c>
      <c r="AM7" s="21">
        <v>12860</v>
      </c>
      <c r="AN7" s="21">
        <v>10284</v>
      </c>
      <c r="AO7" s="21">
        <v>10575</v>
      </c>
      <c r="AP7" s="21">
        <v>13725</v>
      </c>
      <c r="AQ7" s="21">
        <v>10248.314041999998</v>
      </c>
      <c r="AR7" s="21">
        <v>11346.0364044</v>
      </c>
      <c r="AS7" s="21">
        <v>11969.5977286</v>
      </c>
      <c r="AT7" s="21">
        <v>16676.01942642</v>
      </c>
      <c r="AU7" s="21">
        <v>13605.154832299999</v>
      </c>
      <c r="AV7" s="21">
        <v>13881.61159593</v>
      </c>
      <c r="AW7" s="21">
        <v>16798.903380110001</v>
      </c>
      <c r="AX7" s="21">
        <v>24445.583080919998</v>
      </c>
      <c r="AY7" s="21">
        <v>19952.326535439999</v>
      </c>
      <c r="AZ7" s="21">
        <v>18782.154632410005</v>
      </c>
      <c r="BA7" s="21">
        <v>17098.350112380002</v>
      </c>
      <c r="BB7" s="21">
        <v>21794.575345010002</v>
      </c>
      <c r="BC7" s="21">
        <v>17936.319566999999</v>
      </c>
      <c r="BD7" s="21">
        <v>11585.362794000001</v>
      </c>
      <c r="BE7" s="21">
        <v>23982.568796</v>
      </c>
      <c r="BF7" s="21">
        <v>26417.935501060001</v>
      </c>
      <c r="BG7" s="20">
        <v>16214.395377000001</v>
      </c>
      <c r="BH7" s="20">
        <v>24932.598533</v>
      </c>
      <c r="BI7" s="20">
        <v>18390</v>
      </c>
      <c r="BJ7" s="20">
        <v>24851</v>
      </c>
      <c r="BK7" s="20">
        <v>19681</v>
      </c>
      <c r="BL7" s="20">
        <v>9638</v>
      </c>
      <c r="BM7" s="20">
        <v>13329</v>
      </c>
      <c r="BN7" s="20">
        <v>16004</v>
      </c>
      <c r="BO7" s="20">
        <v>13436.384795000002</v>
      </c>
      <c r="BP7" s="20">
        <v>20566.103885999997</v>
      </c>
      <c r="BQ7" s="20">
        <v>31169.099778440002</v>
      </c>
      <c r="BR7" s="65">
        <v>40392</v>
      </c>
      <c r="BS7" s="65">
        <v>40965</v>
      </c>
      <c r="BT7" s="65">
        <v>37627</v>
      </c>
      <c r="BU7" s="65">
        <f>36948</f>
        <v>36948</v>
      </c>
      <c r="BV7" s="65">
        <f>30701</f>
        <v>30701</v>
      </c>
      <c r="BW7" s="65">
        <v>37377.266451999996</v>
      </c>
      <c r="BX7" s="65">
        <v>24823.707968999999</v>
      </c>
      <c r="BY7" s="65">
        <v>46854.62423406</v>
      </c>
      <c r="BZ7" s="65">
        <v>44482.839787079996</v>
      </c>
    </row>
    <row r="8" spans="1:78" x14ac:dyDescent="0.2">
      <c r="A8" s="9" t="s">
        <v>28</v>
      </c>
      <c r="B8" s="7" t="s">
        <v>5</v>
      </c>
      <c r="C8" s="21"/>
      <c r="D8" s="21"/>
      <c r="E8" s="21">
        <f>SUM(AA8:AD8)</f>
        <v>26073</v>
      </c>
      <c r="F8" s="21">
        <f>SUM(AE8:AH8)</f>
        <v>35335</v>
      </c>
      <c r="G8" s="21">
        <f>SUM(AI8:AL8)</f>
        <v>25845</v>
      </c>
      <c r="H8" s="21">
        <f>SUM(AM8:AP8)</f>
        <v>39723.422637700001</v>
      </c>
      <c r="I8" s="21">
        <f>SUM(AQ8:AT8)</f>
        <v>46146.695167350001</v>
      </c>
      <c r="J8" s="21">
        <f>SUM(AU8:AX8)</f>
        <v>62785.436452919996</v>
      </c>
      <c r="K8" s="21">
        <f>SUM(AY8:BB8)</f>
        <v>77713.387916539999</v>
      </c>
      <c r="L8" s="21">
        <f>SUM(BC8:BF8)</f>
        <v>81985.030014120013</v>
      </c>
      <c r="M8" s="21">
        <f>SUM(BG8:BJ8)</f>
        <v>84093.78253756999</v>
      </c>
      <c r="N8" s="21">
        <f t="shared" ref="N8:N18" si="0">SUM(BK8:BN8)</f>
        <v>60386</v>
      </c>
      <c r="O8" s="21">
        <f>SUM(BO8:BR8)</f>
        <v>82107.948539289995</v>
      </c>
      <c r="P8" s="21">
        <v>95575</v>
      </c>
      <c r="Q8" s="21">
        <f>100507</f>
        <v>100507</v>
      </c>
      <c r="R8" s="9"/>
      <c r="S8" s="21"/>
      <c r="T8" s="21"/>
      <c r="U8" s="21"/>
      <c r="V8" s="21"/>
      <c r="W8" s="21"/>
      <c r="X8" s="21"/>
      <c r="Y8" s="21"/>
      <c r="Z8" s="21"/>
      <c r="AA8" s="21">
        <v>5237</v>
      </c>
      <c r="AB8" s="21">
        <v>5703</v>
      </c>
      <c r="AC8" s="21">
        <v>6769</v>
      </c>
      <c r="AD8" s="21">
        <v>8364</v>
      </c>
      <c r="AE8" s="21">
        <v>9088</v>
      </c>
      <c r="AF8" s="21">
        <v>5747</v>
      </c>
      <c r="AG8" s="21">
        <v>9012</v>
      </c>
      <c r="AH8" s="21">
        <v>11488</v>
      </c>
      <c r="AI8" s="21">
        <v>6003</v>
      </c>
      <c r="AJ8" s="21">
        <v>4412</v>
      </c>
      <c r="AK8" s="21">
        <v>5798</v>
      </c>
      <c r="AL8" s="21">
        <v>9632</v>
      </c>
      <c r="AM8" s="21">
        <v>10570.772917070002</v>
      </c>
      <c r="AN8" s="21">
        <v>9286</v>
      </c>
      <c r="AO8" s="21">
        <v>8743.8683072799995</v>
      </c>
      <c r="AP8" s="21">
        <v>11122.78141335</v>
      </c>
      <c r="AQ8" s="21">
        <v>9714.1392184200031</v>
      </c>
      <c r="AR8" s="21">
        <v>9282.8890235700001</v>
      </c>
      <c r="AS8" s="21">
        <v>12432.99312372</v>
      </c>
      <c r="AT8" s="21">
        <v>14716.673801640001</v>
      </c>
      <c r="AU8" s="21">
        <v>12777.758215059999</v>
      </c>
      <c r="AV8" s="21">
        <v>14693.6143854</v>
      </c>
      <c r="AW8" s="21">
        <v>15010.584524129999</v>
      </c>
      <c r="AX8" s="21">
        <v>20303.479328329999</v>
      </c>
      <c r="AY8" s="21">
        <v>23631.847321820002</v>
      </c>
      <c r="AZ8" s="21">
        <v>19176.827587320004</v>
      </c>
      <c r="BA8" s="21">
        <v>16114.074190339999</v>
      </c>
      <c r="BB8" s="21">
        <v>18790.638817060004</v>
      </c>
      <c r="BC8" s="21">
        <v>17604.427967750002</v>
      </c>
      <c r="BD8" s="21">
        <v>13942.190508559999</v>
      </c>
      <c r="BE8" s="21">
        <v>21235.062525180001</v>
      </c>
      <c r="BF8" s="21">
        <v>29203.349012630002</v>
      </c>
      <c r="BG8" s="20">
        <v>18036.233013270001</v>
      </c>
      <c r="BH8" s="20">
        <v>22852.549524299997</v>
      </c>
      <c r="BI8" s="20">
        <v>19308</v>
      </c>
      <c r="BJ8" s="20">
        <v>23897</v>
      </c>
      <c r="BK8" s="20">
        <v>21235</v>
      </c>
      <c r="BL8" s="20">
        <v>11402</v>
      </c>
      <c r="BM8" s="20">
        <v>11170</v>
      </c>
      <c r="BN8" s="20">
        <v>16579</v>
      </c>
      <c r="BO8" s="20">
        <v>12000.56727009</v>
      </c>
      <c r="BP8" s="20">
        <v>16208.977656510002</v>
      </c>
      <c r="BQ8" s="20">
        <v>24684.403612690003</v>
      </c>
      <c r="BR8" s="65">
        <v>29214</v>
      </c>
      <c r="BS8" s="65">
        <f>21587</f>
        <v>21587</v>
      </c>
      <c r="BT8" s="65">
        <f>27201</f>
        <v>27201</v>
      </c>
      <c r="BU8" s="65">
        <f>24560</f>
        <v>24560</v>
      </c>
      <c r="BV8" s="65">
        <f>22226</f>
        <v>22226</v>
      </c>
      <c r="BW8" s="65">
        <f>18096</f>
        <v>18096</v>
      </c>
      <c r="BX8" s="65">
        <f>21530</f>
        <v>21530</v>
      </c>
      <c r="BY8" s="65">
        <f>20125</f>
        <v>20125</v>
      </c>
      <c r="BZ8" s="65">
        <f>40757</f>
        <v>40757</v>
      </c>
    </row>
    <row r="9" spans="1:78" x14ac:dyDescent="0.2">
      <c r="A9" s="9" t="s">
        <v>29</v>
      </c>
      <c r="B9" s="7" t="s">
        <v>30</v>
      </c>
      <c r="C9" s="21">
        <v>67797</v>
      </c>
      <c r="D9" s="21">
        <v>75013</v>
      </c>
      <c r="E9" s="21">
        <v>84889</v>
      </c>
      <c r="F9" s="21">
        <v>87431</v>
      </c>
      <c r="G9" s="21">
        <v>91057.20360523343</v>
      </c>
      <c r="H9" s="21">
        <v>95649.762108517301</v>
      </c>
      <c r="I9" s="21">
        <v>98094.123288225688</v>
      </c>
      <c r="J9" s="21">
        <v>109445.30457033213</v>
      </c>
      <c r="K9" s="21">
        <v>123140.09552653086</v>
      </c>
      <c r="L9" s="21">
        <v>148500.69067665632</v>
      </c>
      <c r="M9" s="21">
        <v>189008.00940000001</v>
      </c>
      <c r="N9" s="21">
        <v>198413</v>
      </c>
      <c r="O9" s="21">
        <v>192904</v>
      </c>
      <c r="P9" s="21">
        <f>208928</f>
        <v>208928</v>
      </c>
      <c r="Q9" s="21">
        <f>228672</f>
        <v>228672</v>
      </c>
      <c r="R9" s="9"/>
      <c r="S9" s="21">
        <v>69721</v>
      </c>
      <c r="T9" s="21">
        <v>60453</v>
      </c>
      <c r="U9" s="21">
        <v>68030</v>
      </c>
      <c r="V9" s="21">
        <v>71718</v>
      </c>
      <c r="W9" s="21">
        <v>71611</v>
      </c>
      <c r="X9" s="21">
        <v>75120</v>
      </c>
      <c r="Y9" s="21">
        <v>74073</v>
      </c>
      <c r="Z9" s="21">
        <v>78484</v>
      </c>
      <c r="AA9" s="21">
        <v>80606</v>
      </c>
      <c r="AB9" s="21">
        <v>81102</v>
      </c>
      <c r="AC9" s="21">
        <v>87800</v>
      </c>
      <c r="AD9" s="21">
        <v>85667</v>
      </c>
      <c r="AE9" s="21">
        <v>83228.279413133379</v>
      </c>
      <c r="AF9" s="21">
        <v>85288.692095209277</v>
      </c>
      <c r="AG9" s="21">
        <v>89402.153728722871</v>
      </c>
      <c r="AH9" s="21">
        <v>90510.557914723904</v>
      </c>
      <c r="AI9" s="21">
        <v>80946.282812226491</v>
      </c>
      <c r="AJ9" s="21">
        <v>97918.322170442902</v>
      </c>
      <c r="AK9" s="21">
        <v>93746.002211283601</v>
      </c>
      <c r="AL9" s="21">
        <v>90258.314857375255</v>
      </c>
      <c r="AM9" s="21">
        <v>95254</v>
      </c>
      <c r="AN9" s="21">
        <v>102223</v>
      </c>
      <c r="AO9" s="21">
        <v>99144</v>
      </c>
      <c r="AP9" s="21">
        <v>89272</v>
      </c>
      <c r="AQ9" s="21">
        <v>90177.794240254676</v>
      </c>
      <c r="AR9" s="21">
        <v>92675.773665021043</v>
      </c>
      <c r="AS9" s="21">
        <v>105015.44777916004</v>
      </c>
      <c r="AT9" s="21">
        <v>102869.44993975338</v>
      </c>
      <c r="AU9" s="21">
        <v>101473.95361667546</v>
      </c>
      <c r="AV9" s="21">
        <v>108055.02285767831</v>
      </c>
      <c r="AW9" s="21">
        <v>109015.40579162672</v>
      </c>
      <c r="AX9" s="21">
        <v>115660.46550332049</v>
      </c>
      <c r="AY9" s="21">
        <v>118796.12844466366</v>
      </c>
      <c r="AZ9" s="21">
        <v>121758.63498952119</v>
      </c>
      <c r="BA9" s="21">
        <v>125118.06952713689</v>
      </c>
      <c r="BB9" s="21">
        <v>127060.01614186288</v>
      </c>
      <c r="BC9" s="21">
        <v>142384.42321047024</v>
      </c>
      <c r="BD9" s="21">
        <v>121971.44740463202</v>
      </c>
      <c r="BE9" s="21">
        <v>159404.83358335987</v>
      </c>
      <c r="BF9" s="21">
        <v>158392.26542298836</v>
      </c>
      <c r="BG9" s="20">
        <v>164329.03697465188</v>
      </c>
      <c r="BH9" s="20">
        <v>203915.04321517842</v>
      </c>
      <c r="BI9" s="20">
        <v>190633</v>
      </c>
      <c r="BJ9" s="20">
        <v>192538</v>
      </c>
      <c r="BK9" s="20">
        <v>217611</v>
      </c>
      <c r="BL9" s="20">
        <v>181732</v>
      </c>
      <c r="BM9" s="20">
        <v>198985</v>
      </c>
      <c r="BN9" s="20">
        <v>195324</v>
      </c>
      <c r="BO9" s="20">
        <v>182478.08071313796</v>
      </c>
      <c r="BP9" s="20">
        <v>185870.63073595663</v>
      </c>
      <c r="BQ9" s="20">
        <v>199371.19042391944</v>
      </c>
      <c r="BR9" s="65">
        <v>195493</v>
      </c>
      <c r="BS9" s="65">
        <v>216512</v>
      </c>
      <c r="BT9" s="65">
        <v>192020.80584774294</v>
      </c>
      <c r="BU9" s="65">
        <f>234799</f>
        <v>234799</v>
      </c>
      <c r="BV9" s="65">
        <f>195000</f>
        <v>195000</v>
      </c>
      <c r="BW9" s="65">
        <f>194595</f>
        <v>194595</v>
      </c>
      <c r="BX9" s="65">
        <f>239432</f>
        <v>239432</v>
      </c>
      <c r="BY9" s="65">
        <f>267395</f>
        <v>267395</v>
      </c>
      <c r="BZ9" s="65">
        <f>221909</f>
        <v>221909</v>
      </c>
    </row>
    <row r="10" spans="1:78" x14ac:dyDescent="0.2">
      <c r="A10" s="22"/>
      <c r="B10" s="7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9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0"/>
      <c r="BH10" s="20"/>
      <c r="BI10" s="20"/>
      <c r="BJ10" s="20"/>
      <c r="BK10" s="9"/>
      <c r="BL10" s="9"/>
      <c r="BM10" s="9"/>
      <c r="BN10" s="9"/>
      <c r="BO10" s="9"/>
      <c r="BP10" s="9"/>
      <c r="BQ10" s="9"/>
      <c r="BT10" s="6"/>
      <c r="BU10" s="6"/>
      <c r="BV10" s="65"/>
      <c r="BW10" s="65"/>
      <c r="BX10" s="65"/>
      <c r="BY10" s="65"/>
      <c r="BZ10" s="65"/>
    </row>
    <row r="11" spans="1:78" x14ac:dyDescent="0.2">
      <c r="A11" s="5" t="s">
        <v>31</v>
      </c>
      <c r="B11" s="7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9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0"/>
      <c r="BH11" s="20"/>
      <c r="BI11" s="20"/>
      <c r="BJ11" s="20"/>
      <c r="BK11" s="9"/>
      <c r="BL11" s="9"/>
      <c r="BM11" s="9"/>
      <c r="BN11" s="9"/>
      <c r="BO11" s="9"/>
      <c r="BP11" s="9"/>
      <c r="BQ11" s="9"/>
      <c r="BT11" s="6"/>
      <c r="BU11" s="6"/>
      <c r="BV11" s="65"/>
      <c r="BW11" s="65"/>
      <c r="BX11" s="65"/>
      <c r="BY11" s="65"/>
      <c r="BZ11" s="65"/>
    </row>
    <row r="12" spans="1:78" x14ac:dyDescent="0.2">
      <c r="A12" s="9" t="s">
        <v>32</v>
      </c>
      <c r="B12" s="7" t="s">
        <v>33</v>
      </c>
      <c r="C12" s="21">
        <v>4192</v>
      </c>
      <c r="D12" s="21">
        <f>SUM(W12:Z12)</f>
        <v>5797</v>
      </c>
      <c r="E12" s="21">
        <f>SUM(AA12:AD12)</f>
        <v>6876</v>
      </c>
      <c r="F12" s="21">
        <f>SUM(AE12:AH12)</f>
        <v>9045</v>
      </c>
      <c r="G12" s="21">
        <f>SUM(AI12:AL12)</f>
        <v>7841</v>
      </c>
      <c r="H12" s="21">
        <f>SUM(AM12:AP12)</f>
        <v>9590</v>
      </c>
      <c r="I12" s="21">
        <f>SUM(AQ12:AT12)</f>
        <v>9916</v>
      </c>
      <c r="J12" s="21">
        <f>SUM(AU12:AX12)</f>
        <v>12312</v>
      </c>
      <c r="K12" s="21">
        <f>SUM(AY12:BB12)</f>
        <v>12040</v>
      </c>
      <c r="L12" s="21">
        <f>SUM(BC12:BF12)</f>
        <v>9725</v>
      </c>
      <c r="M12" s="21">
        <f>SUM(BG12:BJ12)</f>
        <v>8560</v>
      </c>
      <c r="N12" s="21">
        <f t="shared" si="0"/>
        <v>6457</v>
      </c>
      <c r="O12" s="21">
        <f>SUM(BO12:BR12)</f>
        <v>11689</v>
      </c>
      <c r="P12" s="21">
        <f>SUM(BS12:BV12)</f>
        <v>14304</v>
      </c>
      <c r="Q12" s="21">
        <f>12509</f>
        <v>12509</v>
      </c>
      <c r="R12" s="9"/>
      <c r="S12" s="21"/>
      <c r="T12" s="21"/>
      <c r="U12" s="21"/>
      <c r="V12" s="21"/>
      <c r="W12" s="21">
        <v>1338</v>
      </c>
      <c r="X12" s="21">
        <v>1235</v>
      </c>
      <c r="Y12" s="21">
        <v>1390</v>
      </c>
      <c r="Z12" s="21">
        <v>1834</v>
      </c>
      <c r="AA12" s="21">
        <v>1454</v>
      </c>
      <c r="AB12" s="21">
        <v>1548</v>
      </c>
      <c r="AC12" s="21">
        <v>1752</v>
      </c>
      <c r="AD12" s="21">
        <v>2122</v>
      </c>
      <c r="AE12" s="21">
        <v>2300</v>
      </c>
      <c r="AF12" s="21">
        <v>2033</v>
      </c>
      <c r="AG12" s="21">
        <v>1960</v>
      </c>
      <c r="AH12" s="21">
        <v>2752</v>
      </c>
      <c r="AI12" s="21">
        <v>1028</v>
      </c>
      <c r="AJ12" s="21">
        <v>831</v>
      </c>
      <c r="AK12" s="21">
        <v>2525</v>
      </c>
      <c r="AL12" s="21">
        <v>3457</v>
      </c>
      <c r="AM12" s="21">
        <v>2634</v>
      </c>
      <c r="AN12" s="21">
        <v>1886</v>
      </c>
      <c r="AO12" s="21">
        <v>2069</v>
      </c>
      <c r="AP12" s="21">
        <v>3001</v>
      </c>
      <c r="AQ12" s="21">
        <v>2082</v>
      </c>
      <c r="AR12" s="21">
        <v>2321</v>
      </c>
      <c r="AS12" s="21">
        <v>2331</v>
      </c>
      <c r="AT12" s="21">
        <v>3182</v>
      </c>
      <c r="AU12" s="21">
        <v>2573</v>
      </c>
      <c r="AV12" s="21">
        <v>2532</v>
      </c>
      <c r="AW12" s="21">
        <v>2962</v>
      </c>
      <c r="AX12" s="21">
        <v>4245</v>
      </c>
      <c r="AY12" s="21">
        <v>3470</v>
      </c>
      <c r="AZ12" s="21">
        <v>3060</v>
      </c>
      <c r="BA12" s="21">
        <v>2579</v>
      </c>
      <c r="BB12" s="21">
        <v>2931</v>
      </c>
      <c r="BC12" s="21">
        <v>2323</v>
      </c>
      <c r="BD12" s="21">
        <v>1559</v>
      </c>
      <c r="BE12" s="21">
        <v>2706</v>
      </c>
      <c r="BF12" s="21">
        <v>3137</v>
      </c>
      <c r="BG12" s="20">
        <v>1989</v>
      </c>
      <c r="BH12" s="20">
        <v>2297</v>
      </c>
      <c r="BI12" s="20">
        <v>1869</v>
      </c>
      <c r="BJ12" s="20">
        <v>2405</v>
      </c>
      <c r="BK12" s="20">
        <v>1899</v>
      </c>
      <c r="BL12" s="20">
        <v>1216</v>
      </c>
      <c r="BM12" s="20">
        <v>1572</v>
      </c>
      <c r="BN12" s="20">
        <v>1770</v>
      </c>
      <c r="BO12" s="20">
        <v>1555</v>
      </c>
      <c r="BP12" s="20">
        <v>2265</v>
      </c>
      <c r="BQ12" s="20">
        <v>3343</v>
      </c>
      <c r="BR12" s="65">
        <v>4526</v>
      </c>
      <c r="BS12" s="65">
        <v>3816</v>
      </c>
      <c r="BT12" s="65">
        <v>3643</v>
      </c>
      <c r="BU12" s="65">
        <f>3368</f>
        <v>3368</v>
      </c>
      <c r="BV12" s="65">
        <f>3477</f>
        <v>3477</v>
      </c>
      <c r="BW12" s="65">
        <f>4075</f>
        <v>4075</v>
      </c>
      <c r="BX12" s="65">
        <f>2479</f>
        <v>2479</v>
      </c>
      <c r="BY12" s="65">
        <f>2772</f>
        <v>2772</v>
      </c>
      <c r="BZ12" s="65">
        <f>3183</f>
        <v>3183</v>
      </c>
    </row>
    <row r="13" spans="1:78" x14ac:dyDescent="0.2">
      <c r="A13" s="9" t="s">
        <v>34</v>
      </c>
      <c r="B13" s="7"/>
      <c r="C13" s="21"/>
      <c r="D13" s="21">
        <f>SUM(W13:Z13)</f>
        <v>794</v>
      </c>
      <c r="E13" s="21">
        <f>SUM(AA13:AD13)</f>
        <v>1415</v>
      </c>
      <c r="F13" s="21">
        <f>SUM(AE13:AH13)</f>
        <v>2026</v>
      </c>
      <c r="G13" s="21">
        <f>SUM(AI13:AL13)</f>
        <v>1184</v>
      </c>
      <c r="H13" s="21">
        <f>SUM(AM13:AP13)</f>
        <v>2047</v>
      </c>
      <c r="I13" s="21">
        <f>SUM(AQ13:AT13)</f>
        <v>3357</v>
      </c>
      <c r="J13" s="21">
        <f>SUM(AU13:AX13)</f>
        <v>5027</v>
      </c>
      <c r="K13" s="21">
        <f>SUM(AY13:BB13)</f>
        <v>4336</v>
      </c>
      <c r="L13" s="21">
        <f>SUM(BC13:BF13)</f>
        <v>4168</v>
      </c>
      <c r="M13" s="21">
        <f>SUM(BG13:BJ13)</f>
        <v>3499</v>
      </c>
      <c r="N13" s="21">
        <f t="shared" si="0"/>
        <v>2531</v>
      </c>
      <c r="O13" s="21">
        <f>SUM(BO13:BR13)</f>
        <v>5818</v>
      </c>
      <c r="P13" s="21">
        <f>SUM(BS13:BV13)</f>
        <v>4229</v>
      </c>
      <c r="Q13" s="21">
        <f>2613</f>
        <v>2613</v>
      </c>
      <c r="R13" s="9"/>
      <c r="S13" s="110"/>
      <c r="T13" s="110"/>
      <c r="U13" s="110"/>
      <c r="V13" s="110"/>
      <c r="W13" s="110">
        <v>140</v>
      </c>
      <c r="X13" s="110">
        <v>137</v>
      </c>
      <c r="Y13" s="110">
        <v>188</v>
      </c>
      <c r="Z13" s="110">
        <v>329</v>
      </c>
      <c r="AA13" s="110">
        <v>255</v>
      </c>
      <c r="AB13" s="110">
        <v>362</v>
      </c>
      <c r="AC13" s="110">
        <v>368</v>
      </c>
      <c r="AD13" s="110">
        <v>430</v>
      </c>
      <c r="AE13" s="110">
        <v>396</v>
      </c>
      <c r="AF13" s="110">
        <v>464</v>
      </c>
      <c r="AG13" s="110">
        <v>542</v>
      </c>
      <c r="AH13" s="110">
        <v>624</v>
      </c>
      <c r="AI13" s="110">
        <v>115</v>
      </c>
      <c r="AJ13" s="110">
        <v>167</v>
      </c>
      <c r="AK13" s="110">
        <v>376</v>
      </c>
      <c r="AL13" s="110">
        <v>526</v>
      </c>
      <c r="AM13" s="110">
        <v>519</v>
      </c>
      <c r="AN13" s="110">
        <v>391</v>
      </c>
      <c r="AO13" s="110">
        <v>449</v>
      </c>
      <c r="AP13" s="110">
        <v>688</v>
      </c>
      <c r="AQ13" s="110">
        <v>466</v>
      </c>
      <c r="AR13" s="110">
        <v>771</v>
      </c>
      <c r="AS13" s="110">
        <v>817</v>
      </c>
      <c r="AT13" s="110">
        <v>1303</v>
      </c>
      <c r="AU13" s="110">
        <v>1018</v>
      </c>
      <c r="AV13" s="110">
        <v>1052</v>
      </c>
      <c r="AW13" s="110">
        <v>1203</v>
      </c>
      <c r="AX13" s="110">
        <v>1754</v>
      </c>
      <c r="AY13" s="110">
        <v>1281</v>
      </c>
      <c r="AZ13" s="110">
        <v>1094</v>
      </c>
      <c r="BA13" s="110">
        <v>930</v>
      </c>
      <c r="BB13" s="110">
        <v>1031</v>
      </c>
      <c r="BC13" s="110">
        <v>830</v>
      </c>
      <c r="BD13" s="110">
        <v>686</v>
      </c>
      <c r="BE13" s="110">
        <v>1260</v>
      </c>
      <c r="BF13" s="110">
        <v>1392</v>
      </c>
      <c r="BG13" s="110">
        <v>730</v>
      </c>
      <c r="BH13" s="20">
        <v>1077</v>
      </c>
      <c r="BI13" s="20">
        <v>734</v>
      </c>
      <c r="BJ13" s="20">
        <v>958</v>
      </c>
      <c r="BK13" s="20">
        <v>622</v>
      </c>
      <c r="BL13" s="20">
        <v>299</v>
      </c>
      <c r="BM13" s="20">
        <v>580</v>
      </c>
      <c r="BN13" s="20">
        <v>1030</v>
      </c>
      <c r="BO13" s="20">
        <v>733</v>
      </c>
      <c r="BP13" s="20">
        <v>1134</v>
      </c>
      <c r="BQ13" s="20">
        <v>1638</v>
      </c>
      <c r="BR13" s="65">
        <v>2313</v>
      </c>
      <c r="BS13" s="65">
        <v>939</v>
      </c>
      <c r="BT13" s="65">
        <v>1637</v>
      </c>
      <c r="BU13" s="65">
        <f>992</f>
        <v>992</v>
      </c>
      <c r="BV13" s="65">
        <f>661</f>
        <v>661</v>
      </c>
      <c r="BW13" s="65">
        <f>582</f>
        <v>582</v>
      </c>
      <c r="BX13" s="65">
        <f>782</f>
        <v>782</v>
      </c>
      <c r="BY13" s="65">
        <f>609</f>
        <v>609</v>
      </c>
      <c r="BZ13" s="65">
        <f>640</f>
        <v>640</v>
      </c>
    </row>
    <row r="14" spans="1:78" x14ac:dyDescent="0.2">
      <c r="A14" s="9" t="s">
        <v>35</v>
      </c>
      <c r="B14" s="111" t="s">
        <v>36</v>
      </c>
      <c r="C14" s="21"/>
      <c r="D14" s="21">
        <f>D13/D12*100</f>
        <v>13.696739692944625</v>
      </c>
      <c r="E14" s="21">
        <f t="shared" ref="E14:L14" si="1">E13/E12*100</f>
        <v>20.578824898196626</v>
      </c>
      <c r="F14" s="21">
        <f t="shared" si="1"/>
        <v>22.39911553344389</v>
      </c>
      <c r="G14" s="21">
        <f t="shared" si="1"/>
        <v>15.100114781277899</v>
      </c>
      <c r="H14" s="21">
        <f t="shared" si="1"/>
        <v>21.345151199165798</v>
      </c>
      <c r="I14" s="21">
        <f t="shared" si="1"/>
        <v>33.854376764824529</v>
      </c>
      <c r="J14" s="21">
        <f t="shared" si="1"/>
        <v>40.830084470435345</v>
      </c>
      <c r="K14" s="21">
        <f t="shared" si="1"/>
        <v>36.013289036544847</v>
      </c>
      <c r="L14" s="21">
        <f t="shared" si="1"/>
        <v>42.858611825192803</v>
      </c>
      <c r="M14" s="21">
        <f>M13/M12*100</f>
        <v>40.876168224299064</v>
      </c>
      <c r="N14" s="21">
        <f>N13/N12*100</f>
        <v>39.197769862165096</v>
      </c>
      <c r="O14" s="21">
        <f>O13/O12*100</f>
        <v>49.77329112841133</v>
      </c>
      <c r="P14" s="21">
        <f>P13/P12*100</f>
        <v>29.565156599552573</v>
      </c>
      <c r="Q14" s="21">
        <f>21</f>
        <v>21</v>
      </c>
      <c r="R14" s="9"/>
      <c r="S14" s="110">
        <v>6</v>
      </c>
      <c r="T14" s="110">
        <v>11</v>
      </c>
      <c r="U14" s="110">
        <v>7.0000000000000009</v>
      </c>
      <c r="V14" s="110">
        <v>16</v>
      </c>
      <c r="W14" s="110">
        <v>10</v>
      </c>
      <c r="X14" s="110">
        <v>10</v>
      </c>
      <c r="Y14" s="110">
        <v>13</v>
      </c>
      <c r="Z14" s="110">
        <v>18</v>
      </c>
      <c r="AA14" s="110">
        <v>18</v>
      </c>
      <c r="AB14" s="110">
        <v>24</v>
      </c>
      <c r="AC14" s="110">
        <v>21</v>
      </c>
      <c r="AD14" s="110">
        <v>20</v>
      </c>
      <c r="AE14" s="110">
        <v>17</v>
      </c>
      <c r="AF14" s="110">
        <v>23</v>
      </c>
      <c r="AG14" s="110">
        <v>28</v>
      </c>
      <c r="AH14" s="110">
        <v>23</v>
      </c>
      <c r="AI14" s="110">
        <v>11</v>
      </c>
      <c r="AJ14" s="110">
        <v>20</v>
      </c>
      <c r="AK14" s="110">
        <v>15</v>
      </c>
      <c r="AL14" s="110">
        <v>15</v>
      </c>
      <c r="AM14" s="110">
        <v>20</v>
      </c>
      <c r="AN14" s="110">
        <v>21</v>
      </c>
      <c r="AO14" s="110">
        <v>22</v>
      </c>
      <c r="AP14" s="110">
        <v>23</v>
      </c>
      <c r="AQ14" s="110">
        <v>22</v>
      </c>
      <c r="AR14" s="110">
        <v>33</v>
      </c>
      <c r="AS14" s="110">
        <v>35</v>
      </c>
      <c r="AT14" s="110">
        <v>41</v>
      </c>
      <c r="AU14" s="110">
        <v>40</v>
      </c>
      <c r="AV14" s="110">
        <v>42</v>
      </c>
      <c r="AW14" s="110">
        <v>41</v>
      </c>
      <c r="AX14" s="110">
        <v>41</v>
      </c>
      <c r="AY14" s="110">
        <v>37</v>
      </c>
      <c r="AZ14" s="110">
        <v>36</v>
      </c>
      <c r="BA14" s="110">
        <v>36</v>
      </c>
      <c r="BB14" s="110">
        <v>35</v>
      </c>
      <c r="BC14" s="110">
        <v>36</v>
      </c>
      <c r="BD14" s="110">
        <v>44</v>
      </c>
      <c r="BE14" s="110">
        <v>47</v>
      </c>
      <c r="BF14" s="110">
        <v>44</v>
      </c>
      <c r="BG14" s="110">
        <v>37</v>
      </c>
      <c r="BH14" s="20">
        <v>47</v>
      </c>
      <c r="BI14" s="20">
        <v>39</v>
      </c>
      <c r="BJ14" s="20">
        <v>40</v>
      </c>
      <c r="BK14" s="20">
        <v>33</v>
      </c>
      <c r="BL14" s="20">
        <v>25</v>
      </c>
      <c r="BM14" s="20">
        <v>37</v>
      </c>
      <c r="BN14" s="20">
        <v>58</v>
      </c>
      <c r="BO14" s="20">
        <v>47.138263665594856</v>
      </c>
      <c r="BP14" s="20">
        <v>50.066225165562919</v>
      </c>
      <c r="BQ14" s="20">
        <v>48.997906072390066</v>
      </c>
      <c r="BR14" s="65">
        <v>51</v>
      </c>
      <c r="BS14" s="65">
        <v>25</v>
      </c>
      <c r="BT14" s="65">
        <v>45</v>
      </c>
      <c r="BU14" s="65">
        <f>29</f>
        <v>29</v>
      </c>
      <c r="BV14" s="65">
        <f>19</f>
        <v>19</v>
      </c>
      <c r="BW14" s="65">
        <v>14</v>
      </c>
      <c r="BX14" s="65">
        <f>32</f>
        <v>32</v>
      </c>
      <c r="BY14" s="65">
        <f>22</f>
        <v>22</v>
      </c>
      <c r="BZ14" s="65">
        <f>20</f>
        <v>20</v>
      </c>
    </row>
    <row r="15" spans="1:78" x14ac:dyDescent="0.2">
      <c r="A15" s="23"/>
      <c r="B15" s="7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9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0"/>
      <c r="BH15" s="20"/>
      <c r="BI15" s="20"/>
      <c r="BJ15" s="20"/>
      <c r="BK15" s="9"/>
      <c r="BL15" s="9"/>
      <c r="BM15" s="9"/>
      <c r="BN15" s="9"/>
      <c r="BO15" s="9"/>
      <c r="BP15" s="9"/>
      <c r="BQ15" s="9"/>
      <c r="BT15" s="6"/>
      <c r="BU15" s="6"/>
      <c r="BV15" s="65"/>
      <c r="BW15" s="65"/>
      <c r="BX15" s="65"/>
      <c r="BY15" s="65"/>
      <c r="BZ15" s="65"/>
    </row>
    <row r="16" spans="1:78" x14ac:dyDescent="0.2">
      <c r="A16" s="5" t="s">
        <v>91</v>
      </c>
      <c r="B16" s="7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9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0"/>
      <c r="BH16" s="20"/>
      <c r="BI16" s="20"/>
      <c r="BJ16" s="20"/>
      <c r="BK16" s="9"/>
      <c r="BL16" s="9"/>
      <c r="BM16" s="9"/>
      <c r="BN16" s="9"/>
      <c r="BO16" s="9"/>
      <c r="BP16" s="9"/>
      <c r="BQ16" s="9"/>
      <c r="BT16" s="6"/>
      <c r="BU16" s="6"/>
      <c r="BV16" s="65"/>
      <c r="BW16" s="65"/>
      <c r="BX16" s="65"/>
      <c r="BY16" s="65"/>
      <c r="BZ16" s="65"/>
    </row>
    <row r="17" spans="1:78" x14ac:dyDescent="0.2">
      <c r="A17" s="9" t="s">
        <v>27</v>
      </c>
      <c r="B17" s="7" t="s">
        <v>38</v>
      </c>
      <c r="C17" s="21">
        <f>SUM(S17:V17)</f>
        <v>270012</v>
      </c>
      <c r="D17" s="21">
        <f>SUM(W17:Z17)</f>
        <v>316466</v>
      </c>
      <c r="E17" s="21">
        <f>SUM(AA17:AD17)</f>
        <v>356075</v>
      </c>
      <c r="F17" s="21">
        <f>SUM(AE17:AH17)</f>
        <v>457055.99999999994</v>
      </c>
      <c r="G17" s="21">
        <f>SUM(AI17:AL17)</f>
        <v>385252.00999999983</v>
      </c>
      <c r="H17" s="21">
        <f>SUM(AM17:AP17)</f>
        <v>496008</v>
      </c>
      <c r="I17" s="21">
        <f>SUM(AQ17:AT17)</f>
        <v>512160.82999999996</v>
      </c>
      <c r="J17" s="21">
        <f>SUM(AU17:AX17)</f>
        <v>627996.36000000057</v>
      </c>
      <c r="K17" s="21">
        <f>SUM(AY17:BB17)</f>
        <v>630399.10999999975</v>
      </c>
      <c r="L17" s="21">
        <f>SUM(BC17:BF17)</f>
        <v>538194.04</v>
      </c>
      <c r="M17" s="21">
        <f>SUM(BG17:BJ17)</f>
        <v>446479.84000000008</v>
      </c>
      <c r="N17" s="21">
        <f t="shared" si="0"/>
        <v>292395</v>
      </c>
      <c r="O17" s="21">
        <f>SUM(BO17:BR17)</f>
        <v>547234.76</v>
      </c>
      <c r="P17" s="21">
        <f>SUM(BS17:BV17)</f>
        <v>699959.08999999985</v>
      </c>
      <c r="Q17" s="21">
        <f>671437</f>
        <v>671437</v>
      </c>
      <c r="R17" s="9"/>
      <c r="S17" s="21">
        <v>59638</v>
      </c>
      <c r="T17" s="21">
        <v>62544</v>
      </c>
      <c r="U17" s="21">
        <v>63737</v>
      </c>
      <c r="V17" s="21">
        <v>84093</v>
      </c>
      <c r="W17" s="21">
        <v>77726</v>
      </c>
      <c r="X17" s="21">
        <v>69155</v>
      </c>
      <c r="Y17" s="21">
        <v>75102</v>
      </c>
      <c r="Z17" s="21">
        <v>94483</v>
      </c>
      <c r="AA17" s="21">
        <v>73481</v>
      </c>
      <c r="AB17" s="21">
        <v>80042</v>
      </c>
      <c r="AC17" s="21">
        <v>92755</v>
      </c>
      <c r="AD17" s="21">
        <v>109797</v>
      </c>
      <c r="AE17" s="21">
        <v>109059.86999999998</v>
      </c>
      <c r="AF17" s="21">
        <v>94914.339999999938</v>
      </c>
      <c r="AG17" s="21">
        <v>106039.39000000001</v>
      </c>
      <c r="AH17" s="21">
        <v>147042.40000000002</v>
      </c>
      <c r="AI17" s="21">
        <v>46989.890000000007</v>
      </c>
      <c r="AJ17" s="21">
        <v>41973</v>
      </c>
      <c r="AK17" s="21">
        <v>121522.17999999996</v>
      </c>
      <c r="AL17" s="21">
        <v>174766.93999999986</v>
      </c>
      <c r="AM17" s="21">
        <v>135003</v>
      </c>
      <c r="AN17" s="21">
        <v>100599</v>
      </c>
      <c r="AO17" s="21">
        <v>106661</v>
      </c>
      <c r="AP17" s="21">
        <v>153745</v>
      </c>
      <c r="AQ17" s="21">
        <v>113645.64999999998</v>
      </c>
      <c r="AR17" s="21">
        <v>122427.20999999999</v>
      </c>
      <c r="AS17" s="21">
        <v>113979.40000000005</v>
      </c>
      <c r="AT17" s="21">
        <v>162108.56999999995</v>
      </c>
      <c r="AU17" s="21">
        <v>134075.34000000008</v>
      </c>
      <c r="AV17" s="21">
        <v>128467.99000000011</v>
      </c>
      <c r="AW17" s="21">
        <v>154096.60000000015</v>
      </c>
      <c r="AX17" s="21">
        <v>211356.43000000023</v>
      </c>
      <c r="AY17" s="21">
        <v>167954.35000000003</v>
      </c>
      <c r="AZ17" s="21">
        <v>154257.2699999999</v>
      </c>
      <c r="BA17" s="21">
        <v>136657.71999999997</v>
      </c>
      <c r="BB17" s="21">
        <v>171529.76999999981</v>
      </c>
      <c r="BC17" s="21">
        <v>125971.07999999997</v>
      </c>
      <c r="BD17" s="21">
        <v>94984.22000000003</v>
      </c>
      <c r="BE17" s="21">
        <v>150450.70000000001</v>
      </c>
      <c r="BF17" s="21">
        <v>166788.04</v>
      </c>
      <c r="BG17" s="20">
        <v>98670.300000000032</v>
      </c>
      <c r="BH17" s="20">
        <v>122269.54000000007</v>
      </c>
      <c r="BI17" s="20">
        <v>96470</v>
      </c>
      <c r="BJ17" s="20">
        <v>129070</v>
      </c>
      <c r="BK17" s="20">
        <v>90439</v>
      </c>
      <c r="BL17" s="20">
        <v>53036</v>
      </c>
      <c r="BM17" s="20">
        <v>66986</v>
      </c>
      <c r="BN17" s="20">
        <v>81934</v>
      </c>
      <c r="BO17" s="20">
        <v>73632.870000000039</v>
      </c>
      <c r="BP17" s="20">
        <v>110647.41</v>
      </c>
      <c r="BQ17" s="20">
        <v>156337.03</v>
      </c>
      <c r="BR17" s="65">
        <v>206617.44999999995</v>
      </c>
      <c r="BS17" s="65">
        <v>189205</v>
      </c>
      <c r="BT17" s="65">
        <v>195951.15999999989</v>
      </c>
      <c r="BU17" s="65">
        <v>157360.99999999997</v>
      </c>
      <c r="BV17" s="65">
        <v>157441.93</v>
      </c>
      <c r="BW17" s="65">
        <v>192077</v>
      </c>
      <c r="BX17" s="65">
        <v>103677.55000000002</v>
      </c>
      <c r="BY17" s="65">
        <f>175226</f>
        <v>175226</v>
      </c>
      <c r="BZ17" s="65">
        <f>200456</f>
        <v>200456</v>
      </c>
    </row>
    <row r="18" spans="1:78" x14ac:dyDescent="0.2">
      <c r="A18" s="24" t="s">
        <v>39</v>
      </c>
      <c r="B18" s="25" t="s">
        <v>38</v>
      </c>
      <c r="C18" s="26">
        <v>328435</v>
      </c>
      <c r="D18" s="26">
        <v>363120</v>
      </c>
      <c r="E18" s="26">
        <v>468248</v>
      </c>
      <c r="F18" s="26">
        <v>583483</v>
      </c>
      <c r="G18" s="26">
        <v>502203</v>
      </c>
      <c r="H18" s="26">
        <v>420325</v>
      </c>
      <c r="I18" s="26">
        <f>SUM(AQ18:AT18)</f>
        <v>422946</v>
      </c>
      <c r="J18" s="26">
        <f>SUM(AU18:AX18)</f>
        <v>479339</v>
      </c>
      <c r="K18" s="26">
        <f>SUM(AY18:BB18)</f>
        <v>621866.93999999994</v>
      </c>
      <c r="L18" s="26">
        <f>SUM(BC18:BF18)</f>
        <v>540325.10000000009</v>
      </c>
      <c r="M18" s="26">
        <f>SUM(BG18:BJ18)</f>
        <v>421209.4</v>
      </c>
      <c r="N18" s="26">
        <f t="shared" si="0"/>
        <v>734773</v>
      </c>
      <c r="O18" s="26">
        <f>SUM(BO18:BR18)</f>
        <v>416726.2</v>
      </c>
      <c r="P18" s="26">
        <f>SUM(BS18:BV18)</f>
        <v>161232</v>
      </c>
      <c r="Q18" s="26">
        <f>483472</f>
        <v>483472</v>
      </c>
      <c r="R18" s="9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>
        <v>0</v>
      </c>
      <c r="AR18" s="26">
        <v>107796.6</v>
      </c>
      <c r="AS18" s="26">
        <v>19771.7</v>
      </c>
      <c r="AT18" s="26">
        <v>295377.7</v>
      </c>
      <c r="AU18" s="26">
        <v>0</v>
      </c>
      <c r="AV18" s="26">
        <v>0</v>
      </c>
      <c r="AW18" s="26">
        <v>56270</v>
      </c>
      <c r="AX18" s="26">
        <v>423069</v>
      </c>
      <c r="AY18" s="26">
        <v>34538.639999999999</v>
      </c>
      <c r="AZ18" s="26">
        <v>211804.59999999998</v>
      </c>
      <c r="BA18" s="26">
        <v>67230.100000000006</v>
      </c>
      <c r="BB18" s="26">
        <v>308293.60000000003</v>
      </c>
      <c r="BC18" s="26">
        <v>88512.6</v>
      </c>
      <c r="BD18" s="26">
        <v>88846.8</v>
      </c>
      <c r="BE18" s="26">
        <v>15569.7</v>
      </c>
      <c r="BF18" s="26">
        <v>347396</v>
      </c>
      <c r="BG18" s="27">
        <v>3028.4</v>
      </c>
      <c r="BH18" s="27">
        <v>0</v>
      </c>
      <c r="BI18" s="27">
        <v>181071</v>
      </c>
      <c r="BJ18" s="27">
        <v>237110</v>
      </c>
      <c r="BK18" s="27">
        <v>175693</v>
      </c>
      <c r="BL18" s="27">
        <v>58981</v>
      </c>
      <c r="BM18" s="27">
        <v>100377</v>
      </c>
      <c r="BN18" s="27">
        <v>399722</v>
      </c>
      <c r="BO18" s="27">
        <v>88068.2</v>
      </c>
      <c r="BP18" s="27">
        <v>107671.70000000001</v>
      </c>
      <c r="BQ18" s="27">
        <v>43235.3</v>
      </c>
      <c r="BR18" s="27">
        <v>177751</v>
      </c>
      <c r="BS18" s="27">
        <v>0</v>
      </c>
      <c r="BT18" s="27">
        <f>50919</f>
        <v>50919</v>
      </c>
      <c r="BU18" s="27">
        <f>35495</f>
        <v>35495</v>
      </c>
      <c r="BV18" s="27">
        <f>74818</f>
        <v>74818</v>
      </c>
      <c r="BW18" s="27">
        <v>73153</v>
      </c>
      <c r="BX18" s="27">
        <f>90700</f>
        <v>90700</v>
      </c>
      <c r="BY18" s="27">
        <f>149778</f>
        <v>149778</v>
      </c>
      <c r="BZ18" s="27">
        <f>169841</f>
        <v>169841</v>
      </c>
    </row>
    <row r="19" spans="1:78" x14ac:dyDescent="0.2">
      <c r="A19" s="68"/>
      <c r="B19" s="7"/>
      <c r="C19" s="10"/>
      <c r="D19" s="10"/>
      <c r="E19" s="10"/>
      <c r="F19" s="10"/>
      <c r="G19" s="10"/>
      <c r="H19" s="10"/>
      <c r="I19" s="10"/>
      <c r="J19" s="9"/>
      <c r="K19" s="9"/>
      <c r="L19" s="9"/>
      <c r="M19" s="9"/>
      <c r="N19" s="9"/>
      <c r="O19" s="9"/>
      <c r="P19" s="9"/>
      <c r="Q19" s="9"/>
      <c r="R19" s="9"/>
      <c r="S19" s="9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9"/>
      <c r="AE19" s="9"/>
      <c r="AF19" s="9"/>
      <c r="AG19" s="9"/>
      <c r="AH19" s="9"/>
      <c r="AI19" s="9"/>
      <c r="AJ19" s="209"/>
      <c r="AK19" s="20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</row>
    <row r="20" spans="1:78" x14ac:dyDescent="0.2">
      <c r="A20" s="68"/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9"/>
      <c r="N20" s="9"/>
      <c r="O20" s="9"/>
      <c r="P20" s="9"/>
      <c r="Q20" s="9"/>
      <c r="R20" s="9"/>
      <c r="S20" s="9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9"/>
      <c r="AE20" s="9"/>
      <c r="AF20" s="9"/>
      <c r="AG20" s="9"/>
      <c r="AH20" s="9"/>
      <c r="AI20" s="20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</row>
    <row r="21" spans="1:78" ht="18" x14ac:dyDescent="0.25">
      <c r="A21" s="54" t="s">
        <v>290</v>
      </c>
      <c r="B21" s="7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9"/>
      <c r="N21" s="9"/>
      <c r="O21" s="9"/>
      <c r="P21" s="9"/>
      <c r="Q21" s="9"/>
      <c r="R21" s="9"/>
      <c r="S21" s="9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</row>
    <row r="22" spans="1:78" x14ac:dyDescent="0.2">
      <c r="A22" s="2" t="s">
        <v>1</v>
      </c>
      <c r="B22" s="7"/>
      <c r="C22" s="10"/>
      <c r="D22" s="10"/>
      <c r="E22" s="10"/>
      <c r="F22" s="10"/>
      <c r="G22" s="10"/>
      <c r="H22" s="10"/>
      <c r="I22" s="10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</row>
    <row r="23" spans="1:78" x14ac:dyDescent="0.2">
      <c r="A23" s="68"/>
      <c r="B23" s="7"/>
      <c r="C23" s="10"/>
      <c r="D23" s="10"/>
      <c r="E23" s="10"/>
      <c r="F23" s="10"/>
      <c r="G23" s="10"/>
      <c r="H23" s="10"/>
      <c r="I23" s="10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</row>
    <row r="24" spans="1:78" x14ac:dyDescent="0.2">
      <c r="A24" s="19"/>
      <c r="B24" s="106" t="s">
        <v>2</v>
      </c>
      <c r="C24" s="107">
        <v>2011</v>
      </c>
      <c r="D24" s="107">
        <v>2012</v>
      </c>
      <c r="E24" s="107">
        <v>2013</v>
      </c>
      <c r="F24" s="107">
        <v>2014</v>
      </c>
      <c r="G24" s="107">
        <v>2015</v>
      </c>
      <c r="H24" s="107">
        <v>2016</v>
      </c>
      <c r="I24" s="107">
        <v>2017</v>
      </c>
      <c r="J24" s="107">
        <v>2018</v>
      </c>
      <c r="K24" s="107">
        <v>2019</v>
      </c>
      <c r="L24" s="107">
        <v>2020</v>
      </c>
      <c r="M24" s="107">
        <v>2021</v>
      </c>
      <c r="N24" s="107">
        <f>N5</f>
        <v>2022</v>
      </c>
      <c r="O24" s="107">
        <f>O5</f>
        <v>2023</v>
      </c>
      <c r="P24" s="107">
        <f>P5</f>
        <v>2024</v>
      </c>
      <c r="Q24" s="107">
        <v>2025</v>
      </c>
      <c r="R24" s="108"/>
      <c r="S24" s="109" t="s">
        <v>47</v>
      </c>
      <c r="T24" s="109" t="s">
        <v>48</v>
      </c>
      <c r="U24" s="109" t="s">
        <v>49</v>
      </c>
      <c r="V24" s="109" t="s">
        <v>50</v>
      </c>
      <c r="W24" s="109" t="s">
        <v>51</v>
      </c>
      <c r="X24" s="109" t="s">
        <v>52</v>
      </c>
      <c r="Y24" s="109" t="s">
        <v>53</v>
      </c>
      <c r="Z24" s="109" t="s">
        <v>54</v>
      </c>
      <c r="AA24" s="109" t="s">
        <v>55</v>
      </c>
      <c r="AB24" s="109" t="s">
        <v>56</v>
      </c>
      <c r="AC24" s="109" t="s">
        <v>57</v>
      </c>
      <c r="AD24" s="109" t="s">
        <v>58</v>
      </c>
      <c r="AE24" s="109" t="s">
        <v>59</v>
      </c>
      <c r="AF24" s="109" t="s">
        <v>60</v>
      </c>
      <c r="AG24" s="109" t="s">
        <v>61</v>
      </c>
      <c r="AH24" s="109" t="s">
        <v>62</v>
      </c>
      <c r="AI24" s="109" t="s">
        <v>63</v>
      </c>
      <c r="AJ24" s="109" t="s">
        <v>64</v>
      </c>
      <c r="AK24" s="109" t="s">
        <v>65</v>
      </c>
      <c r="AL24" s="109" t="s">
        <v>66</v>
      </c>
      <c r="AM24" s="109" t="s">
        <v>67</v>
      </c>
      <c r="AN24" s="109" t="s">
        <v>68</v>
      </c>
      <c r="AO24" s="109" t="s">
        <v>69</v>
      </c>
      <c r="AP24" s="109" t="s">
        <v>70</v>
      </c>
      <c r="AQ24" s="109" t="s">
        <v>71</v>
      </c>
      <c r="AR24" s="109" t="s">
        <v>72</v>
      </c>
      <c r="AS24" s="109" t="s">
        <v>73</v>
      </c>
      <c r="AT24" s="109" t="s">
        <v>74</v>
      </c>
      <c r="AU24" s="109" t="s">
        <v>75</v>
      </c>
      <c r="AV24" s="109" t="s">
        <v>76</v>
      </c>
      <c r="AW24" s="109" t="s">
        <v>77</v>
      </c>
      <c r="AX24" s="109" t="s">
        <v>78</v>
      </c>
      <c r="AY24" s="109" t="s">
        <v>79</v>
      </c>
      <c r="AZ24" s="109" t="s">
        <v>80</v>
      </c>
      <c r="BA24" s="109" t="s">
        <v>81</v>
      </c>
      <c r="BB24" s="109" t="s">
        <v>82</v>
      </c>
      <c r="BC24" s="109" t="s">
        <v>83</v>
      </c>
      <c r="BD24" s="109" t="s">
        <v>84</v>
      </c>
      <c r="BE24" s="109" t="s">
        <v>85</v>
      </c>
      <c r="BF24" s="109" t="s">
        <v>86</v>
      </c>
      <c r="BG24" s="109" t="s">
        <v>87</v>
      </c>
      <c r="BH24" s="109" t="s">
        <v>88</v>
      </c>
      <c r="BI24" s="109" t="s">
        <v>89</v>
      </c>
      <c r="BJ24" s="109" t="s">
        <v>90</v>
      </c>
      <c r="BK24" s="109" t="s">
        <v>302</v>
      </c>
      <c r="BL24" s="109" t="s">
        <v>303</v>
      </c>
      <c r="BM24" s="109" t="s">
        <v>309</v>
      </c>
      <c r="BN24" s="109" t="s">
        <v>310</v>
      </c>
      <c r="BO24" s="109" t="str">
        <f>BO5</f>
        <v>1Q 2023</v>
      </c>
      <c r="BP24" s="109" t="str">
        <f t="shared" ref="BP24:BQ24" si="2">BP5</f>
        <v>2Q 2023</v>
      </c>
      <c r="BQ24" s="109" t="str">
        <f t="shared" si="2"/>
        <v>3Q 2023</v>
      </c>
      <c r="BR24" s="109" t="s">
        <v>401</v>
      </c>
      <c r="BS24" s="109" t="s">
        <v>423</v>
      </c>
      <c r="BT24" s="109" t="s">
        <v>424</v>
      </c>
      <c r="BU24" s="109" t="s">
        <v>427</v>
      </c>
      <c r="BV24" s="109" t="s">
        <v>428</v>
      </c>
      <c r="BW24" s="109" t="s">
        <v>436</v>
      </c>
      <c r="BX24" s="109" t="s">
        <v>481</v>
      </c>
      <c r="BY24" s="109" t="s">
        <v>485</v>
      </c>
      <c r="BZ24" s="109" t="s">
        <v>486</v>
      </c>
    </row>
    <row r="25" spans="1:78" x14ac:dyDescent="0.2">
      <c r="A25" s="5" t="s">
        <v>26</v>
      </c>
      <c r="B25" s="7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9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9"/>
      <c r="BL25" s="9"/>
      <c r="BM25" s="9"/>
      <c r="BT25" s="6"/>
      <c r="BU25" s="6"/>
      <c r="BV25" s="6"/>
    </row>
    <row r="26" spans="1:78" x14ac:dyDescent="0.2">
      <c r="A26" s="28" t="s">
        <v>27</v>
      </c>
      <c r="B26" s="7" t="s">
        <v>5</v>
      </c>
      <c r="C26" s="29">
        <f>SUM(S26:V26)</f>
        <v>18306</v>
      </c>
      <c r="D26" s="29">
        <f>SUM(W26:Z26)</f>
        <v>23739</v>
      </c>
      <c r="E26" s="29">
        <f>SUM(AA26:AD26)</f>
        <v>30227</v>
      </c>
      <c r="F26" s="29">
        <f>SUM(AE26:AH26)</f>
        <v>39961</v>
      </c>
      <c r="G26" s="29">
        <f>SUM(AI26:AL26)</f>
        <v>35080</v>
      </c>
      <c r="H26" s="29">
        <f>SUM(AM26:AP26)</f>
        <v>47444</v>
      </c>
      <c r="I26" s="29">
        <f>SUM(AQ26:AT26)</f>
        <v>50240</v>
      </c>
      <c r="J26" s="29">
        <f t="shared" ref="J26:J32" si="3">SUM(AU26:AX26)</f>
        <v>68731.252889259995</v>
      </c>
      <c r="K26" s="29">
        <f t="shared" ref="K26:K32" si="4">SUM(AY26:BB26)</f>
        <v>77627.406625240008</v>
      </c>
      <c r="L26" s="29">
        <f t="shared" ref="L26:L32" si="5">SUM(BC26:BF26)</f>
        <v>79922.186658060004</v>
      </c>
      <c r="M26" s="29">
        <f t="shared" ref="M26:M32" si="6">SUM(BG26:BJ26)</f>
        <v>84387.99390999999</v>
      </c>
      <c r="N26" s="29">
        <f>SUM(BK26:BN26)</f>
        <v>58652</v>
      </c>
      <c r="O26" s="29">
        <f t="shared" ref="O26:O33" si="7">SUM(BO26:BR26)</f>
        <v>105563.58845944001</v>
      </c>
      <c r="P26" s="29">
        <f>SUM(BS26:BV26)</f>
        <v>146241</v>
      </c>
      <c r="Q26" s="29">
        <f>SUM(BW26:BZ26)</f>
        <v>153538.43844214</v>
      </c>
      <c r="R26" s="28"/>
      <c r="S26" s="29">
        <v>4158</v>
      </c>
      <c r="T26" s="29">
        <v>3781</v>
      </c>
      <c r="U26" s="29">
        <v>4336</v>
      </c>
      <c r="V26" s="29">
        <v>6031</v>
      </c>
      <c r="W26" s="29">
        <v>5566</v>
      </c>
      <c r="X26" s="29">
        <v>5195</v>
      </c>
      <c r="Y26" s="29">
        <v>5563</v>
      </c>
      <c r="Z26" s="29">
        <v>7415</v>
      </c>
      <c r="AA26" s="29">
        <v>5923</v>
      </c>
      <c r="AB26" s="29">
        <v>6746</v>
      </c>
      <c r="AC26" s="29">
        <v>8152</v>
      </c>
      <c r="AD26" s="29">
        <v>9406</v>
      </c>
      <c r="AE26" s="29">
        <v>9077</v>
      </c>
      <c r="AF26" s="29">
        <v>8095</v>
      </c>
      <c r="AG26" s="29">
        <v>9480</v>
      </c>
      <c r="AH26" s="29">
        <v>13309</v>
      </c>
      <c r="AI26" s="29">
        <v>3804</v>
      </c>
      <c r="AJ26" s="29">
        <v>4110</v>
      </c>
      <c r="AK26" s="29">
        <v>11392</v>
      </c>
      <c r="AL26" s="29">
        <v>15774</v>
      </c>
      <c r="AM26" s="29">
        <v>12860</v>
      </c>
      <c r="AN26" s="29">
        <v>10284</v>
      </c>
      <c r="AO26" s="29">
        <v>10575</v>
      </c>
      <c r="AP26" s="29">
        <v>13725</v>
      </c>
      <c r="AQ26" s="29">
        <v>10248</v>
      </c>
      <c r="AR26" s="29">
        <v>11346</v>
      </c>
      <c r="AS26" s="29">
        <v>11970</v>
      </c>
      <c r="AT26" s="29">
        <v>16676</v>
      </c>
      <c r="AU26" s="29">
        <v>13605.154832299999</v>
      </c>
      <c r="AV26" s="29">
        <v>13881.61159593</v>
      </c>
      <c r="AW26" s="29">
        <v>16798.903380110001</v>
      </c>
      <c r="AX26" s="29">
        <v>24445.583080919998</v>
      </c>
      <c r="AY26" s="29">
        <f t="shared" ref="AY26:BH26" si="8">SUM(AY27:AY28)</f>
        <v>19952.326535440006</v>
      </c>
      <c r="AZ26" s="29">
        <f t="shared" si="8"/>
        <v>18782.154632409998</v>
      </c>
      <c r="BA26" s="29">
        <f t="shared" si="8"/>
        <v>17098.350112380002</v>
      </c>
      <c r="BB26" s="29">
        <f t="shared" si="8"/>
        <v>21794.575345010002</v>
      </c>
      <c r="BC26" s="29">
        <f t="shared" si="8"/>
        <v>17936.319567000002</v>
      </c>
      <c r="BD26" s="29">
        <f t="shared" si="8"/>
        <v>11585.362794000001</v>
      </c>
      <c r="BE26" s="29">
        <f t="shared" si="8"/>
        <v>23982.568796</v>
      </c>
      <c r="BF26" s="29">
        <f t="shared" si="8"/>
        <v>26417.935501059997</v>
      </c>
      <c r="BG26" s="29">
        <f t="shared" si="8"/>
        <v>16214.395377000001</v>
      </c>
      <c r="BH26" s="29">
        <f t="shared" si="8"/>
        <v>24932.598532999997</v>
      </c>
      <c r="BI26" s="30">
        <v>18390</v>
      </c>
      <c r="BJ26" s="30">
        <v>24851</v>
      </c>
      <c r="BK26" s="30">
        <v>19681</v>
      </c>
      <c r="BL26" s="30">
        <v>9638</v>
      </c>
      <c r="BM26" s="30">
        <v>13329</v>
      </c>
      <c r="BN26" s="66">
        <v>16004</v>
      </c>
      <c r="BO26" s="66">
        <f>BO7</f>
        <v>13436.384795000002</v>
      </c>
      <c r="BP26" s="66">
        <f t="shared" ref="BP26:BR26" si="9">BP7</f>
        <v>20566.103885999997</v>
      </c>
      <c r="BQ26" s="66">
        <f t="shared" si="9"/>
        <v>31169.099778440002</v>
      </c>
      <c r="BR26" s="66">
        <f t="shared" si="9"/>
        <v>40392</v>
      </c>
      <c r="BS26" s="66">
        <v>40965</v>
      </c>
      <c r="BT26" s="66">
        <v>37627</v>
      </c>
      <c r="BU26" s="66">
        <f>36948</f>
        <v>36948</v>
      </c>
      <c r="BV26" s="66">
        <f>30701</f>
        <v>30701</v>
      </c>
      <c r="BW26" s="66">
        <v>37377.266451999996</v>
      </c>
      <c r="BX26" s="66">
        <v>24823.707968999999</v>
      </c>
      <c r="BY26" s="66">
        <v>46854.62423406</v>
      </c>
      <c r="BZ26" s="66">
        <v>44482.839787079996</v>
      </c>
    </row>
    <row r="27" spans="1:78" x14ac:dyDescent="0.2">
      <c r="A27" s="22" t="s">
        <v>92</v>
      </c>
      <c r="B27" s="7" t="s">
        <v>5</v>
      </c>
      <c r="C27" s="21"/>
      <c r="D27" s="21"/>
      <c r="E27" s="21"/>
      <c r="F27" s="21"/>
      <c r="G27" s="21"/>
      <c r="H27" s="21"/>
      <c r="I27" s="21"/>
      <c r="J27" s="21">
        <f t="shared" si="3"/>
        <v>34266</v>
      </c>
      <c r="K27" s="21">
        <f t="shared" si="4"/>
        <v>43180.279834750007</v>
      </c>
      <c r="L27" s="21">
        <f t="shared" si="5"/>
        <v>46743.44769406</v>
      </c>
      <c r="M27" s="21">
        <f t="shared" si="6"/>
        <v>54052.761195999999</v>
      </c>
      <c r="N27" s="21">
        <f t="shared" ref="N27:N50" si="10">SUM(BK27:BN27)</f>
        <v>32296</v>
      </c>
      <c r="O27" s="21">
        <f t="shared" si="7"/>
        <v>58068.222750470006</v>
      </c>
      <c r="P27" s="21">
        <f t="shared" ref="P27:P33" si="11">SUM(BS27:BV27)</f>
        <v>74735.384345999992</v>
      </c>
      <c r="Q27" s="21">
        <f t="shared" ref="Q27:Q51" si="12">SUM(BW27:BZ27)</f>
        <v>91550.64773348</v>
      </c>
      <c r="R27" s="9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>
        <v>6342</v>
      </c>
      <c r="AV27" s="21">
        <v>6671</v>
      </c>
      <c r="AW27" s="21">
        <v>8453</v>
      </c>
      <c r="AX27" s="21">
        <v>12800</v>
      </c>
      <c r="AY27" s="21">
        <v>11601.924496440004</v>
      </c>
      <c r="AZ27" s="21">
        <v>10877.05207541</v>
      </c>
      <c r="BA27" s="21">
        <v>10050.512491379999</v>
      </c>
      <c r="BB27" s="21">
        <v>10650.79077152</v>
      </c>
      <c r="BC27" s="21">
        <v>10141.073105000001</v>
      </c>
      <c r="BD27" s="21">
        <v>5745.7992039999999</v>
      </c>
      <c r="BE27" s="21">
        <v>15541.945221000002</v>
      </c>
      <c r="BF27" s="21">
        <v>15314.63016406</v>
      </c>
      <c r="BG27" s="21">
        <v>9450.5745100000004</v>
      </c>
      <c r="BH27" s="21">
        <v>18431.186685999997</v>
      </c>
      <c r="BI27" s="20">
        <v>11303</v>
      </c>
      <c r="BJ27" s="20">
        <v>14868</v>
      </c>
      <c r="BK27" s="20">
        <v>11793</v>
      </c>
      <c r="BL27" s="20">
        <v>5720</v>
      </c>
      <c r="BM27" s="20">
        <v>7100</v>
      </c>
      <c r="BN27" s="20">
        <v>7683</v>
      </c>
      <c r="BO27" s="20">
        <v>7136.6284859999996</v>
      </c>
      <c r="BP27" s="20">
        <v>10352.425899</v>
      </c>
      <c r="BQ27" s="20">
        <v>18168.306126470001</v>
      </c>
      <c r="BR27" s="20">
        <v>22410.862239000002</v>
      </c>
      <c r="BS27" s="20">
        <v>26513.054758999999</v>
      </c>
      <c r="BT27" s="20">
        <v>17573.646098999998</v>
      </c>
      <c r="BU27" s="20">
        <v>17475.174886000001</v>
      </c>
      <c r="BV27" s="20">
        <v>13173.508602</v>
      </c>
      <c r="BW27" s="20">
        <v>19151.611603999998</v>
      </c>
      <c r="BX27" s="20">
        <v>11600.270501000001</v>
      </c>
      <c r="BY27" s="20">
        <v>30047.767380400001</v>
      </c>
      <c r="BZ27" s="20">
        <v>30750.998248079999</v>
      </c>
    </row>
    <row r="28" spans="1:78" x14ac:dyDescent="0.2">
      <c r="A28" s="22" t="s">
        <v>93</v>
      </c>
      <c r="B28" s="7" t="s">
        <v>5</v>
      </c>
      <c r="C28" s="21"/>
      <c r="D28" s="21"/>
      <c r="E28" s="21"/>
      <c r="F28" s="21"/>
      <c r="G28" s="21"/>
      <c r="H28" s="21"/>
      <c r="I28" s="21"/>
      <c r="J28" s="21">
        <f t="shared" si="3"/>
        <v>34465</v>
      </c>
      <c r="K28" s="21">
        <f t="shared" si="4"/>
        <v>34447.126790490001</v>
      </c>
      <c r="L28" s="21">
        <f t="shared" si="5"/>
        <v>33178.738963999996</v>
      </c>
      <c r="M28" s="21">
        <f t="shared" si="6"/>
        <v>30335.232713999998</v>
      </c>
      <c r="N28" s="21">
        <f t="shared" si="10"/>
        <v>20944</v>
      </c>
      <c r="O28" s="21">
        <f t="shared" si="7"/>
        <v>23739.191398449999</v>
      </c>
      <c r="P28" s="21">
        <f t="shared" si="11"/>
        <v>40829</v>
      </c>
      <c r="Q28" s="21">
        <f t="shared" si="12"/>
        <v>39224.5151023</v>
      </c>
      <c r="R28" s="9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>
        <v>7264</v>
      </c>
      <c r="AV28" s="21">
        <v>7210</v>
      </c>
      <c r="AW28" s="21">
        <v>8346</v>
      </c>
      <c r="AX28" s="21">
        <v>11645</v>
      </c>
      <c r="AY28" s="21">
        <v>8350.4020390000005</v>
      </c>
      <c r="AZ28" s="21">
        <v>7905.1025570000002</v>
      </c>
      <c r="BA28" s="21">
        <v>7047.8376210000006</v>
      </c>
      <c r="BB28" s="21">
        <v>11143.78457349</v>
      </c>
      <c r="BC28" s="21">
        <v>7795.2464620000001</v>
      </c>
      <c r="BD28" s="21">
        <v>5839.5635899999997</v>
      </c>
      <c r="BE28" s="21">
        <v>8440.6235749999996</v>
      </c>
      <c r="BF28" s="21">
        <v>11103.305337</v>
      </c>
      <c r="BG28" s="21">
        <v>6763.8208670000004</v>
      </c>
      <c r="BH28" s="21">
        <v>6501.4118469999994</v>
      </c>
      <c r="BI28" s="20">
        <v>7088</v>
      </c>
      <c r="BJ28" s="20">
        <v>9982</v>
      </c>
      <c r="BK28" s="20">
        <v>7888</v>
      </c>
      <c r="BL28" s="20">
        <v>3535</v>
      </c>
      <c r="BM28" s="20">
        <v>4482</v>
      </c>
      <c r="BN28" s="65">
        <v>5039</v>
      </c>
      <c r="BO28" s="20">
        <v>3360.8110019999999</v>
      </c>
      <c r="BP28" s="20">
        <v>6149.3626540000005</v>
      </c>
      <c r="BQ28" s="20">
        <v>6468.3942924499997</v>
      </c>
      <c r="BR28" s="20">
        <v>7760.6234499999991</v>
      </c>
      <c r="BS28" s="20">
        <v>6888</v>
      </c>
      <c r="BT28" s="20">
        <v>10366</v>
      </c>
      <c r="BU28" s="20">
        <f>12045</f>
        <v>12045</v>
      </c>
      <c r="BV28" s="20">
        <f>11530</f>
        <v>11530</v>
      </c>
      <c r="BW28" s="20">
        <v>11917.705325999999</v>
      </c>
      <c r="BX28" s="20">
        <v>8085.7780129999992</v>
      </c>
      <c r="BY28" s="20">
        <v>11528.170544299999</v>
      </c>
      <c r="BZ28" s="20">
        <v>7692.8612189999994</v>
      </c>
    </row>
    <row r="29" spans="1:78" x14ac:dyDescent="0.2">
      <c r="A29" s="22" t="s">
        <v>304</v>
      </c>
      <c r="B29" s="7" t="s">
        <v>5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>
        <f>SUM(BK29:BN29)</f>
        <v>5412</v>
      </c>
      <c r="O29" s="21">
        <f t="shared" si="7"/>
        <v>23756.383300519999</v>
      </c>
      <c r="P29" s="21">
        <f t="shared" si="11"/>
        <v>30677</v>
      </c>
      <c r="Q29" s="21">
        <f t="shared" si="12"/>
        <v>22763.275606359999</v>
      </c>
      <c r="R29" s="9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0"/>
      <c r="BJ29" s="20"/>
      <c r="BK29" s="20"/>
      <c r="BL29" s="20">
        <v>383</v>
      </c>
      <c r="BM29" s="20">
        <v>1747</v>
      </c>
      <c r="BN29" s="20">
        <v>3282</v>
      </c>
      <c r="BO29" s="20">
        <v>2938.9453070000004</v>
      </c>
      <c r="BP29" s="20">
        <v>4064.3153329999996</v>
      </c>
      <c r="BQ29" s="20">
        <v>6532.3993595200009</v>
      </c>
      <c r="BR29" s="20">
        <v>10220.723301</v>
      </c>
      <c r="BS29" s="20">
        <v>7564</v>
      </c>
      <c r="BT29" s="20">
        <v>9687</v>
      </c>
      <c r="BU29" s="20">
        <f>7428</f>
        <v>7428</v>
      </c>
      <c r="BV29" s="20">
        <f>5998</f>
        <v>5998</v>
      </c>
      <c r="BW29" s="20">
        <v>6307.9495219999999</v>
      </c>
      <c r="BX29" s="20">
        <v>5137.659455</v>
      </c>
      <c r="BY29" s="20">
        <v>5278.6863093599995</v>
      </c>
      <c r="BZ29" s="20">
        <v>6038.9803199999997</v>
      </c>
    </row>
    <row r="30" spans="1:78" x14ac:dyDescent="0.2">
      <c r="A30" s="28" t="s">
        <v>28</v>
      </c>
      <c r="B30" s="7" t="s">
        <v>5</v>
      </c>
      <c r="C30" s="29"/>
      <c r="D30" s="29"/>
      <c r="E30" s="29">
        <f>SUM(AA30:AD30)</f>
        <v>26073</v>
      </c>
      <c r="F30" s="29">
        <f>SUM(AE30:AH30)</f>
        <v>35335</v>
      </c>
      <c r="G30" s="29">
        <f>SUM(AI30:AL30)</f>
        <v>25845</v>
      </c>
      <c r="H30" s="29">
        <f>SUM(AM30:AP30)</f>
        <v>39723.422637700001</v>
      </c>
      <c r="I30" s="29">
        <f>SUM(AQ30:AT30)</f>
        <v>46147</v>
      </c>
      <c r="J30" s="29">
        <f t="shared" si="3"/>
        <v>62785.436452919996</v>
      </c>
      <c r="K30" s="29">
        <f t="shared" si="4"/>
        <v>77713.387916539999</v>
      </c>
      <c r="L30" s="29">
        <f t="shared" si="5"/>
        <v>81985.030014119999</v>
      </c>
      <c r="M30" s="29">
        <f t="shared" si="6"/>
        <v>84093.78253756999</v>
      </c>
      <c r="N30" s="29">
        <f t="shared" si="10"/>
        <v>50386</v>
      </c>
      <c r="O30" s="29">
        <f t="shared" si="7"/>
        <v>82107.948539289995</v>
      </c>
      <c r="P30" s="29">
        <f t="shared" si="11"/>
        <v>95575.0591441</v>
      </c>
      <c r="Q30" s="29">
        <f t="shared" si="12"/>
        <v>100507.14710748001</v>
      </c>
      <c r="R30" s="28"/>
      <c r="S30" s="29"/>
      <c r="T30" s="29"/>
      <c r="U30" s="29"/>
      <c r="V30" s="29"/>
      <c r="W30" s="29"/>
      <c r="X30" s="29"/>
      <c r="Y30" s="29"/>
      <c r="Z30" s="29"/>
      <c r="AA30" s="29">
        <v>5237</v>
      </c>
      <c r="AB30" s="29">
        <v>5703</v>
      </c>
      <c r="AC30" s="29">
        <v>6769</v>
      </c>
      <c r="AD30" s="29">
        <v>8364</v>
      </c>
      <c r="AE30" s="29">
        <v>9088</v>
      </c>
      <c r="AF30" s="29">
        <v>5747</v>
      </c>
      <c r="AG30" s="29">
        <v>9012</v>
      </c>
      <c r="AH30" s="29">
        <v>11488</v>
      </c>
      <c r="AI30" s="29">
        <v>6003</v>
      </c>
      <c r="AJ30" s="29">
        <v>4412</v>
      </c>
      <c r="AK30" s="29">
        <v>5798</v>
      </c>
      <c r="AL30" s="29">
        <v>9632</v>
      </c>
      <c r="AM30" s="29">
        <v>10570.772917070002</v>
      </c>
      <c r="AN30" s="29">
        <v>9286</v>
      </c>
      <c r="AO30" s="29">
        <v>8743.8683072799995</v>
      </c>
      <c r="AP30" s="29">
        <v>11122.78141335</v>
      </c>
      <c r="AQ30" s="29">
        <v>9714</v>
      </c>
      <c r="AR30" s="29">
        <v>9283</v>
      </c>
      <c r="AS30" s="29">
        <v>12433</v>
      </c>
      <c r="AT30" s="29">
        <v>14717</v>
      </c>
      <c r="AU30" s="29">
        <v>12777.758215059999</v>
      </c>
      <c r="AV30" s="29">
        <v>14693.6143854</v>
      </c>
      <c r="AW30" s="29">
        <v>15010.584524129999</v>
      </c>
      <c r="AX30" s="29">
        <v>20303.479328329999</v>
      </c>
      <c r="AY30" s="29">
        <f t="shared" ref="AY30:BF30" si="13">SUM(AY31:AY32)</f>
        <v>23631.847321820002</v>
      </c>
      <c r="AZ30" s="29">
        <f t="shared" si="13"/>
        <v>19176.827587320004</v>
      </c>
      <c r="BA30" s="29">
        <f t="shared" si="13"/>
        <v>16114.074190340001</v>
      </c>
      <c r="BB30" s="29">
        <f t="shared" si="13"/>
        <v>18790.638817060004</v>
      </c>
      <c r="BC30" s="29">
        <f t="shared" si="13"/>
        <v>17604.427967750002</v>
      </c>
      <c r="BD30" s="29">
        <f t="shared" si="13"/>
        <v>13942.190508559997</v>
      </c>
      <c r="BE30" s="29">
        <f t="shared" si="13"/>
        <v>21235.062525180001</v>
      </c>
      <c r="BF30" s="29">
        <f t="shared" si="13"/>
        <v>29203.349012630002</v>
      </c>
      <c r="BG30" s="30">
        <f>SUM(BG31:BG32)</f>
        <v>18036.233013270001</v>
      </c>
      <c r="BH30" s="30">
        <f>SUM(BH31:BH32)</f>
        <v>22852.549524299997</v>
      </c>
      <c r="BI30" s="30">
        <v>19308</v>
      </c>
      <c r="BJ30" s="30">
        <v>23897</v>
      </c>
      <c r="BK30" s="30">
        <v>21235</v>
      </c>
      <c r="BL30" s="30">
        <v>11402</v>
      </c>
      <c r="BM30" s="30">
        <v>1170</v>
      </c>
      <c r="BN30" s="66">
        <v>16579</v>
      </c>
      <c r="BO30" s="66">
        <f>BO8</f>
        <v>12000.56727009</v>
      </c>
      <c r="BP30" s="66">
        <f t="shared" ref="BP30:BR30" si="14">BP8</f>
        <v>16208.977656510002</v>
      </c>
      <c r="BQ30" s="66">
        <f t="shared" si="14"/>
        <v>24684.403612690003</v>
      </c>
      <c r="BR30" s="66">
        <f t="shared" si="14"/>
        <v>29214</v>
      </c>
      <c r="BS30" s="66">
        <v>21587.418372629996</v>
      </c>
      <c r="BT30" s="66">
        <v>27201.23845058</v>
      </c>
      <c r="BU30" s="66">
        <v>24560.283543609999</v>
      </c>
      <c r="BV30" s="66">
        <v>22226.11877728</v>
      </c>
      <c r="BW30" s="66">
        <v>18095.799608189998</v>
      </c>
      <c r="BX30" s="66">
        <v>21529.7318877</v>
      </c>
      <c r="BY30" s="66">
        <v>20125.11124708</v>
      </c>
      <c r="BZ30" s="66">
        <v>40756.504364510009</v>
      </c>
    </row>
    <row r="31" spans="1:78" x14ac:dyDescent="0.2">
      <c r="A31" s="22" t="s">
        <v>92</v>
      </c>
      <c r="B31" s="7" t="s">
        <v>5</v>
      </c>
      <c r="C31" s="21"/>
      <c r="D31" s="21"/>
      <c r="E31" s="21"/>
      <c r="F31" s="21"/>
      <c r="G31" s="21"/>
      <c r="H31" s="21"/>
      <c r="I31" s="21"/>
      <c r="J31" s="21">
        <f t="shared" si="3"/>
        <v>31104</v>
      </c>
      <c r="K31" s="21">
        <f t="shared" si="4"/>
        <v>45656.239232670006</v>
      </c>
      <c r="L31" s="21">
        <f t="shared" si="5"/>
        <v>48673.272599920005</v>
      </c>
      <c r="M31" s="21">
        <f t="shared" si="6"/>
        <v>52435.787770880001</v>
      </c>
      <c r="N31" s="21">
        <f t="shared" si="10"/>
        <v>31501</v>
      </c>
      <c r="O31" s="21">
        <f t="shared" si="7"/>
        <v>41954.12411212</v>
      </c>
      <c r="P31" s="21">
        <f t="shared" si="11"/>
        <v>42490.069317759997</v>
      </c>
      <c r="Q31" s="21">
        <f>SUM(BW31:BZ31)</f>
        <v>53846.915714030001</v>
      </c>
      <c r="R31" s="9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>
        <v>6243</v>
      </c>
      <c r="AV31" s="21">
        <v>6641</v>
      </c>
      <c r="AW31" s="21">
        <v>7312</v>
      </c>
      <c r="AX31" s="21">
        <v>10908</v>
      </c>
      <c r="AY31" s="21">
        <v>14262.318003740002</v>
      </c>
      <c r="AZ31" s="21">
        <v>11768.061539420001</v>
      </c>
      <c r="BA31" s="21">
        <v>9737.9950076300011</v>
      </c>
      <c r="BB31" s="21">
        <v>9887.8646818800007</v>
      </c>
      <c r="BC31" s="21">
        <v>9323.5371594600001</v>
      </c>
      <c r="BD31" s="21">
        <v>7176.1069611499988</v>
      </c>
      <c r="BE31" s="21">
        <v>13737.299425159999</v>
      </c>
      <c r="BF31" s="21">
        <v>18436.329054150003</v>
      </c>
      <c r="BG31" s="20">
        <v>9861.0000419499993</v>
      </c>
      <c r="BH31" s="20">
        <v>16624.034578929997</v>
      </c>
      <c r="BI31" s="20">
        <v>11832.28983</v>
      </c>
      <c r="BJ31" s="20">
        <v>14118.463320000001</v>
      </c>
      <c r="BK31" s="20">
        <v>11609</v>
      </c>
      <c r="BL31" s="20">
        <v>6800</v>
      </c>
      <c r="BM31" s="20">
        <v>5405</v>
      </c>
      <c r="BN31" s="65">
        <v>7687</v>
      </c>
      <c r="BO31" s="20">
        <v>5822.5120402499997</v>
      </c>
      <c r="BP31" s="20">
        <v>7857.4142038400005</v>
      </c>
      <c r="BQ31" s="20">
        <v>13206.448385120002</v>
      </c>
      <c r="BR31" s="20">
        <v>15067.749482909998</v>
      </c>
      <c r="BS31" s="20">
        <v>11166.96979865</v>
      </c>
      <c r="BT31" s="20">
        <v>11766.929140209999</v>
      </c>
      <c r="BU31" s="20">
        <v>10531.3192963</v>
      </c>
      <c r="BV31" s="20">
        <v>9024.8510825999983</v>
      </c>
      <c r="BW31" s="20">
        <v>5861.6219119000007</v>
      </c>
      <c r="BX31" s="20">
        <v>9180.7512245800008</v>
      </c>
      <c r="BY31" s="20">
        <v>8930.84980034</v>
      </c>
      <c r="BZ31" s="20">
        <v>29873.692777210003</v>
      </c>
    </row>
    <row r="32" spans="1:78" x14ac:dyDescent="0.2">
      <c r="A32" s="22" t="s">
        <v>93</v>
      </c>
      <c r="B32" s="7" t="s">
        <v>5</v>
      </c>
      <c r="C32" s="21"/>
      <c r="D32" s="21"/>
      <c r="E32" s="21"/>
      <c r="F32" s="21"/>
      <c r="G32" s="21"/>
      <c r="H32" s="21"/>
      <c r="I32" s="21"/>
      <c r="J32" s="21">
        <f t="shared" si="3"/>
        <v>31683</v>
      </c>
      <c r="K32" s="21">
        <f t="shared" si="4"/>
        <v>32057.14868387</v>
      </c>
      <c r="L32" s="21">
        <f t="shared" si="5"/>
        <v>33311.757414200001</v>
      </c>
      <c r="M32" s="21">
        <f t="shared" si="6"/>
        <v>31657.747916690001</v>
      </c>
      <c r="N32" s="21">
        <f t="shared" si="10"/>
        <v>24205</v>
      </c>
      <c r="O32" s="21">
        <f t="shared" si="7"/>
        <v>20422.653538030001</v>
      </c>
      <c r="P32" s="21">
        <f>SUM(BS32:BV32)</f>
        <v>30528.600168420002</v>
      </c>
      <c r="Q32" s="21">
        <f t="shared" si="12"/>
        <v>28659.850397079994</v>
      </c>
      <c r="R32" s="9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>
        <v>6535</v>
      </c>
      <c r="AV32" s="21">
        <v>8053</v>
      </c>
      <c r="AW32" s="21">
        <v>7699</v>
      </c>
      <c r="AX32" s="21">
        <v>9396</v>
      </c>
      <c r="AY32" s="21">
        <v>9369.5293180799999</v>
      </c>
      <c r="AZ32" s="21">
        <v>7408.7660479000006</v>
      </c>
      <c r="BA32" s="21">
        <v>6376.0791827100002</v>
      </c>
      <c r="BB32" s="21">
        <v>8902.7741351800014</v>
      </c>
      <c r="BC32" s="21">
        <v>8280.8908082900016</v>
      </c>
      <c r="BD32" s="21">
        <v>6766.0835474099995</v>
      </c>
      <c r="BE32" s="21">
        <v>7497.7631000200008</v>
      </c>
      <c r="BF32" s="21">
        <v>10767.019958479999</v>
      </c>
      <c r="BG32" s="20">
        <v>8175.2329713199997</v>
      </c>
      <c r="BH32" s="20">
        <v>6228.5149453699996</v>
      </c>
      <c r="BI32" s="20">
        <v>7475</v>
      </c>
      <c r="BJ32" s="20">
        <v>9779</v>
      </c>
      <c r="BK32" s="20">
        <v>9627</v>
      </c>
      <c r="BL32" s="20">
        <v>4303</v>
      </c>
      <c r="BM32" s="20">
        <v>4354</v>
      </c>
      <c r="BN32" s="65">
        <v>5921</v>
      </c>
      <c r="BO32" s="20">
        <v>3199.9154398100004</v>
      </c>
      <c r="BP32" s="20">
        <v>4853.0675351399996</v>
      </c>
      <c r="BQ32" s="20">
        <v>6064.5328054000001</v>
      </c>
      <c r="BR32" s="20">
        <v>6305.1377576800005</v>
      </c>
      <c r="BS32" s="20">
        <v>5511.3248675799987</v>
      </c>
      <c r="BT32" s="20">
        <v>8532.2948402500006</v>
      </c>
      <c r="BU32" s="20">
        <v>7848.1382900600001</v>
      </c>
      <c r="BV32" s="20">
        <v>8636.8421705300007</v>
      </c>
      <c r="BW32" s="20">
        <v>8572.5435380899999</v>
      </c>
      <c r="BX32" s="20">
        <v>7953.5139697300001</v>
      </c>
      <c r="BY32" s="20">
        <v>6612.4236082299994</v>
      </c>
      <c r="BZ32" s="20">
        <v>5521.3692810299999</v>
      </c>
    </row>
    <row r="33" spans="1:78" x14ac:dyDescent="0.2">
      <c r="A33" s="22" t="s">
        <v>304</v>
      </c>
      <c r="B33" s="7" t="s">
        <v>5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>
        <f>SUM(BK33:BN33)</f>
        <v>4679</v>
      </c>
      <c r="O33" s="21">
        <f t="shared" si="7"/>
        <v>19730.795129850001</v>
      </c>
      <c r="P33" s="21">
        <f t="shared" si="11"/>
        <v>22556.389657919997</v>
      </c>
      <c r="Q33" s="21">
        <f t="shared" si="12"/>
        <v>18000.380996370001</v>
      </c>
      <c r="R33" s="9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0"/>
      <c r="BH33" s="20"/>
      <c r="BI33" s="20"/>
      <c r="BJ33" s="20"/>
      <c r="BK33" s="20"/>
      <c r="BL33" s="20">
        <v>299</v>
      </c>
      <c r="BM33" s="20">
        <v>1410</v>
      </c>
      <c r="BN33" s="65">
        <v>2970</v>
      </c>
      <c r="BO33" s="20">
        <v>2978.1397900299999</v>
      </c>
      <c r="BP33" s="20">
        <v>3498.49591753</v>
      </c>
      <c r="BQ33" s="20">
        <v>5413.4224221700006</v>
      </c>
      <c r="BR33" s="20">
        <v>7840.7370001199997</v>
      </c>
      <c r="BS33" s="20">
        <v>4909.1237063999997</v>
      </c>
      <c r="BT33" s="20">
        <v>6902.0144701199997</v>
      </c>
      <c r="BU33" s="20">
        <v>6180.8259572500001</v>
      </c>
      <c r="BV33" s="20">
        <v>4564.4255241500005</v>
      </c>
      <c r="BW33" s="20">
        <v>3661.6341582</v>
      </c>
      <c r="BX33" s="20">
        <v>4395.4666933900007</v>
      </c>
      <c r="BY33" s="20">
        <v>4581.8378385100004</v>
      </c>
      <c r="BZ33" s="20">
        <v>5361.4423062699989</v>
      </c>
    </row>
    <row r="34" spans="1:78" x14ac:dyDescent="0.2">
      <c r="A34" s="28" t="s">
        <v>29</v>
      </c>
      <c r="B34" s="7" t="s">
        <v>30</v>
      </c>
      <c r="C34" s="29">
        <v>67797</v>
      </c>
      <c r="D34" s="29">
        <v>75013</v>
      </c>
      <c r="E34" s="29">
        <v>84889</v>
      </c>
      <c r="F34" s="29">
        <v>87431</v>
      </c>
      <c r="G34" s="29">
        <v>91057.20360523343</v>
      </c>
      <c r="H34" s="29">
        <v>95649.762108517345</v>
      </c>
      <c r="I34" s="29">
        <v>98094.123288225688</v>
      </c>
      <c r="J34" s="29">
        <v>109445.30457033213</v>
      </c>
      <c r="K34" s="29">
        <v>123140.09552653086</v>
      </c>
      <c r="L34" s="29">
        <v>148500.69067665632</v>
      </c>
      <c r="M34" s="29">
        <v>189008.00940000001</v>
      </c>
      <c r="N34" s="29">
        <f>AVERAGE(BK34:BN34)</f>
        <v>198413</v>
      </c>
      <c r="O34" s="29">
        <f t="shared" ref="O34:Q35" si="15">O26/O44*1000000</f>
        <v>192903.66068748999</v>
      </c>
      <c r="P34" s="29">
        <f t="shared" si="15"/>
        <v>208927.92463056667</v>
      </c>
      <c r="Q34" s="29">
        <f t="shared" si="15"/>
        <v>228671.545909601</v>
      </c>
      <c r="R34" s="28"/>
      <c r="S34" s="29">
        <v>69721</v>
      </c>
      <c r="T34" s="29">
        <v>60453</v>
      </c>
      <c r="U34" s="29">
        <v>68030</v>
      </c>
      <c r="V34" s="29">
        <v>71718</v>
      </c>
      <c r="W34" s="29">
        <v>71611</v>
      </c>
      <c r="X34" s="29">
        <v>75120</v>
      </c>
      <c r="Y34" s="29">
        <v>74073</v>
      </c>
      <c r="Z34" s="29">
        <v>78484</v>
      </c>
      <c r="AA34" s="29">
        <v>80606</v>
      </c>
      <c r="AB34" s="29">
        <v>81102</v>
      </c>
      <c r="AC34" s="29">
        <v>87800</v>
      </c>
      <c r="AD34" s="29">
        <v>85667</v>
      </c>
      <c r="AE34" s="29">
        <v>83228.279413133379</v>
      </c>
      <c r="AF34" s="29">
        <v>85288.692095209277</v>
      </c>
      <c r="AG34" s="29">
        <v>89402.153728722871</v>
      </c>
      <c r="AH34" s="29">
        <v>90510.557914723904</v>
      </c>
      <c r="AI34" s="29">
        <v>80946.282812226491</v>
      </c>
      <c r="AJ34" s="29">
        <v>97918.322170442902</v>
      </c>
      <c r="AK34" s="29">
        <v>93746.002211283601</v>
      </c>
      <c r="AL34" s="29">
        <v>90258.314857375255</v>
      </c>
      <c r="AM34" s="29">
        <v>95254</v>
      </c>
      <c r="AN34" s="29">
        <v>102223</v>
      </c>
      <c r="AO34" s="29">
        <v>99144</v>
      </c>
      <c r="AP34" s="29">
        <v>89272</v>
      </c>
      <c r="AQ34" s="29">
        <v>90177.794240254676</v>
      </c>
      <c r="AR34" s="29">
        <v>92675.773665021043</v>
      </c>
      <c r="AS34" s="29">
        <v>105015.44777916004</v>
      </c>
      <c r="AT34" s="29">
        <v>102869.44993975338</v>
      </c>
      <c r="AU34" s="29">
        <v>101473.95361667546</v>
      </c>
      <c r="AV34" s="29">
        <v>108055.02285767831</v>
      </c>
      <c r="AW34" s="29">
        <v>109015.40579162672</v>
      </c>
      <c r="AX34" s="29">
        <v>115660.46550332049</v>
      </c>
      <c r="AY34" s="29">
        <v>118796.12844466366</v>
      </c>
      <c r="AZ34" s="29">
        <v>121758.63498952119</v>
      </c>
      <c r="BA34" s="29">
        <v>125118.06952713689</v>
      </c>
      <c r="BB34" s="29">
        <v>127060.01614186288</v>
      </c>
      <c r="BC34" s="29">
        <v>142384.42321047024</v>
      </c>
      <c r="BD34" s="29">
        <v>121971.44740463202</v>
      </c>
      <c r="BE34" s="29">
        <v>159404.83358335987</v>
      </c>
      <c r="BF34" s="29">
        <v>158392.26542298836</v>
      </c>
      <c r="BG34" s="30">
        <v>164329.03697465188</v>
      </c>
      <c r="BH34" s="30">
        <v>203915.04321517842</v>
      </c>
      <c r="BI34" s="30">
        <v>190633</v>
      </c>
      <c r="BJ34" s="30">
        <v>192538</v>
      </c>
      <c r="BK34" s="30">
        <v>217611</v>
      </c>
      <c r="BL34" s="30">
        <v>181732</v>
      </c>
      <c r="BM34" s="30">
        <v>198985</v>
      </c>
      <c r="BN34" s="30">
        <v>195324</v>
      </c>
      <c r="BO34" s="30">
        <f>BO9</f>
        <v>182478.08071313796</v>
      </c>
      <c r="BP34" s="30">
        <f t="shared" ref="BP34:BR34" si="16">BP9</f>
        <v>185870.63073595663</v>
      </c>
      <c r="BQ34" s="30">
        <f t="shared" si="16"/>
        <v>199371.19042391944</v>
      </c>
      <c r="BR34" s="30">
        <f t="shared" si="16"/>
        <v>195493</v>
      </c>
      <c r="BS34" s="30">
        <v>216512</v>
      </c>
      <c r="BT34" s="30">
        <v>192021</v>
      </c>
      <c r="BU34" s="30">
        <f>234799</f>
        <v>234799</v>
      </c>
      <c r="BV34" s="30">
        <f>195000</f>
        <v>195000</v>
      </c>
      <c r="BW34" s="30">
        <f>194595</f>
        <v>194595</v>
      </c>
      <c r="BX34" s="30">
        <f>239432</f>
        <v>239432</v>
      </c>
      <c r="BY34" s="30">
        <f>267395</f>
        <v>267395</v>
      </c>
      <c r="BZ34" s="30">
        <f>221909</f>
        <v>221909</v>
      </c>
    </row>
    <row r="35" spans="1:78" x14ac:dyDescent="0.2">
      <c r="A35" s="22" t="s">
        <v>92</v>
      </c>
      <c r="B35" s="7" t="s">
        <v>30</v>
      </c>
      <c r="C35" s="21"/>
      <c r="D35" s="21"/>
      <c r="E35" s="21"/>
      <c r="F35" s="21"/>
      <c r="G35" s="21"/>
      <c r="H35" s="21"/>
      <c r="I35" s="21"/>
      <c r="J35" s="21"/>
      <c r="K35" s="21">
        <v>142717</v>
      </c>
      <c r="L35" s="21">
        <v>171585</v>
      </c>
      <c r="M35" s="21">
        <v>227675.32320000001</v>
      </c>
      <c r="N35" s="21">
        <f t="shared" ref="N35:N36" si="17">AVERAGE(BK35:BN35)</f>
        <v>264026.25</v>
      </c>
      <c r="O35" s="21">
        <f t="shared" si="15"/>
        <v>275729.8315307544</v>
      </c>
      <c r="P35" s="21">
        <f t="shared" si="15"/>
        <v>300729.07098191651</v>
      </c>
      <c r="Q35" s="21">
        <f t="shared" si="15"/>
        <v>274839.62293375272</v>
      </c>
      <c r="R35" s="9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>
        <v>106636</v>
      </c>
      <c r="AV35" s="21">
        <v>111066</v>
      </c>
      <c r="AW35" s="21">
        <v>109630</v>
      </c>
      <c r="AX35" s="21">
        <v>119972</v>
      </c>
      <c r="AY35" s="21">
        <v>134674.20860035415</v>
      </c>
      <c r="AZ35" s="21">
        <v>144541.35515290051</v>
      </c>
      <c r="BA35" s="21">
        <v>141407.16011891101</v>
      </c>
      <c r="BB35" s="21">
        <v>151970.89868517112</v>
      </c>
      <c r="BC35" s="21">
        <v>171385.11339795694</v>
      </c>
      <c r="BD35" s="21">
        <v>122861.17023687845</v>
      </c>
      <c r="BE35" s="21">
        <v>194240.88155076321</v>
      </c>
      <c r="BF35" s="21">
        <v>177110.01248022571</v>
      </c>
      <c r="BG35" s="20">
        <v>182564.76327908901</v>
      </c>
      <c r="BH35" s="20">
        <v>232271.66960820701</v>
      </c>
      <c r="BI35" s="20">
        <v>228589</v>
      </c>
      <c r="BJ35" s="20">
        <v>261542</v>
      </c>
      <c r="BK35" s="20">
        <v>277236</v>
      </c>
      <c r="BL35" s="20">
        <v>227781</v>
      </c>
      <c r="BM35" s="20">
        <v>281433</v>
      </c>
      <c r="BN35" s="65">
        <v>269655</v>
      </c>
      <c r="BO35" s="20">
        <v>241677.11333712612</v>
      </c>
      <c r="BP35" s="20">
        <v>252623.76515448411</v>
      </c>
      <c r="BQ35" s="20">
        <v>298533.53502197156</v>
      </c>
      <c r="BR35" s="20">
        <v>282856.39688387804</v>
      </c>
      <c r="BS35" s="20">
        <v>297300</v>
      </c>
      <c r="BT35" s="20">
        <f>301581</f>
        <v>301581</v>
      </c>
      <c r="BU35" s="20">
        <f>315182</f>
        <v>315182</v>
      </c>
      <c r="BV35" s="20">
        <f>288781</f>
        <v>288781</v>
      </c>
      <c r="BW35" s="20">
        <v>214244</v>
      </c>
      <c r="BX35" s="20">
        <f>357299</f>
        <v>357299</v>
      </c>
      <c r="BY35" s="20">
        <f>319428</f>
        <v>319428</v>
      </c>
      <c r="BZ35" s="20">
        <f>262425</f>
        <v>262425</v>
      </c>
    </row>
    <row r="36" spans="1:78" x14ac:dyDescent="0.2">
      <c r="A36" s="22" t="s">
        <v>93</v>
      </c>
      <c r="B36" s="7" t="s">
        <v>30</v>
      </c>
      <c r="C36" s="21"/>
      <c r="D36" s="21"/>
      <c r="E36" s="21"/>
      <c r="F36" s="21"/>
      <c r="G36" s="21"/>
      <c r="H36" s="21"/>
      <c r="I36" s="21"/>
      <c r="J36" s="21"/>
      <c r="K36" s="21">
        <v>105073</v>
      </c>
      <c r="L36" s="21">
        <v>124839</v>
      </c>
      <c r="M36" s="21">
        <v>145098.54550000001</v>
      </c>
      <c r="N36" s="21">
        <f t="shared" si="17"/>
        <v>175386.25</v>
      </c>
      <c r="O36" s="21">
        <f t="shared" ref="O36:P37" si="18">O28/O46*1000000</f>
        <v>160148.86525165982</v>
      </c>
      <c r="P36" s="21">
        <f t="shared" si="18"/>
        <v>162763.11323591121</v>
      </c>
      <c r="Q36" s="21">
        <f>Q28/Q46*1000000</f>
        <v>196236.57915215843</v>
      </c>
      <c r="R36" s="9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>
        <v>97359</v>
      </c>
      <c r="AV36" s="21">
        <v>105411</v>
      </c>
      <c r="AW36" s="21">
        <v>108400</v>
      </c>
      <c r="AX36" s="21">
        <v>111265</v>
      </c>
      <c r="AY36" s="21">
        <v>102075.33039949139</v>
      </c>
      <c r="AZ36" s="21">
        <v>100058.14254499302</v>
      </c>
      <c r="BA36" s="21">
        <v>107464.84053042623</v>
      </c>
      <c r="BB36" s="21">
        <v>109850.11609688206</v>
      </c>
      <c r="BC36" s="21">
        <v>116695.62076664282</v>
      </c>
      <c r="BD36" s="21">
        <v>121108.49913371918</v>
      </c>
      <c r="BE36" s="21">
        <v>119832.36031155818</v>
      </c>
      <c r="BF36" s="21">
        <v>138241.03100844199</v>
      </c>
      <c r="BG36" s="20">
        <v>144203.477839108</v>
      </c>
      <c r="BH36" s="20">
        <v>151485.59596287701</v>
      </c>
      <c r="BI36" s="20">
        <v>150724</v>
      </c>
      <c r="BJ36" s="20">
        <v>138221</v>
      </c>
      <c r="BK36" s="20">
        <v>164666</v>
      </c>
      <c r="BL36" s="20">
        <v>150977</v>
      </c>
      <c r="BM36" s="20">
        <v>188567</v>
      </c>
      <c r="BN36" s="65">
        <v>197335</v>
      </c>
      <c r="BO36" s="20">
        <v>177360.30188304858</v>
      </c>
      <c r="BP36" s="20">
        <v>180061.7501297897</v>
      </c>
      <c r="BQ36" s="20">
        <v>159854.74301852004</v>
      </c>
      <c r="BR36" s="20">
        <v>141960.82360662741</v>
      </c>
      <c r="BS36" s="20">
        <v>141576</v>
      </c>
      <c r="BT36" s="20">
        <v>142807</v>
      </c>
      <c r="BU36" s="20">
        <f>219096</f>
        <v>219096</v>
      </c>
      <c r="BV36" s="20">
        <f>154488</f>
        <v>154488</v>
      </c>
      <c r="BW36" s="20">
        <v>186747</v>
      </c>
      <c r="BX36" s="20">
        <f>210562</f>
        <v>210562</v>
      </c>
      <c r="BY36" s="20">
        <f>231312</f>
        <v>231312</v>
      </c>
      <c r="BZ36" s="20">
        <f>160847</f>
        <v>160847</v>
      </c>
    </row>
    <row r="37" spans="1:78" x14ac:dyDescent="0.2">
      <c r="A37" s="22" t="s">
        <v>304</v>
      </c>
      <c r="B37" s="7" t="s">
        <v>30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>
        <f>AVERAGE(BK37:BN37)</f>
        <v>99888.666666666672</v>
      </c>
      <c r="O37" s="21">
        <f t="shared" si="18"/>
        <v>126128.67869874639</v>
      </c>
      <c r="P37" s="21">
        <v>152928</v>
      </c>
      <c r="Q37" s="21">
        <f>Q29/Q47*1000000</f>
        <v>164418.63951857408</v>
      </c>
      <c r="R37" s="9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0"/>
      <c r="BH37" s="20"/>
      <c r="BI37" s="20"/>
      <c r="BJ37" s="20"/>
      <c r="BK37" s="20"/>
      <c r="BL37" s="20">
        <v>84945</v>
      </c>
      <c r="BM37" s="20">
        <v>97128</v>
      </c>
      <c r="BN37" s="65">
        <v>117593</v>
      </c>
      <c r="BO37" s="20">
        <v>116837.1142246169</v>
      </c>
      <c r="BP37" s="20">
        <v>114475.2441986622</v>
      </c>
      <c r="BQ37" s="20">
        <v>118829.83704499254</v>
      </c>
      <c r="BR37" s="20">
        <v>140549.85070041681</v>
      </c>
      <c r="BS37" s="20">
        <v>147238</v>
      </c>
      <c r="BT37" s="20">
        <v>148820</v>
      </c>
      <c r="BU37" s="20">
        <f>158242</f>
        <v>158242</v>
      </c>
      <c r="BV37" s="20">
        <f>161270</f>
        <v>161270</v>
      </c>
      <c r="BW37" s="20">
        <f>162290</f>
        <v>162290</v>
      </c>
      <c r="BX37" s="20">
        <f>156588</f>
        <v>156588</v>
      </c>
      <c r="BY37" s="20">
        <f>168538</f>
        <v>168538</v>
      </c>
      <c r="BZ37" s="20">
        <f>170361</f>
        <v>170361</v>
      </c>
    </row>
    <row r="38" spans="1:78" x14ac:dyDescent="0.2">
      <c r="A38" s="28" t="s">
        <v>32</v>
      </c>
      <c r="B38" s="7" t="s">
        <v>33</v>
      </c>
      <c r="C38" s="29"/>
      <c r="D38" s="29">
        <f>SUM(W38:Z38)</f>
        <v>5797</v>
      </c>
      <c r="E38" s="29">
        <f>SUM(AA38:AD38)</f>
        <v>6876</v>
      </c>
      <c r="F38" s="29">
        <f>SUM(AE38:AH38)</f>
        <v>9045</v>
      </c>
      <c r="G38" s="29">
        <f>SUM(AI38:AL38)</f>
        <v>7841</v>
      </c>
      <c r="H38" s="29">
        <f>SUM(AM38:AP38)</f>
        <v>9590</v>
      </c>
      <c r="I38" s="29">
        <f>SUM(AQ38:AT38)</f>
        <v>9916</v>
      </c>
      <c r="J38" s="29">
        <f>SUM(AU38:AX38)</f>
        <v>12312</v>
      </c>
      <c r="K38" s="29">
        <f>SUM(AY38:BB38)</f>
        <v>12040</v>
      </c>
      <c r="L38" s="29">
        <f>SUM(BC38:BF38)</f>
        <v>9725</v>
      </c>
      <c r="M38" s="29">
        <f>SUM(BG38:BJ38)</f>
        <v>8560</v>
      </c>
      <c r="N38" s="29">
        <f t="shared" si="10"/>
        <v>6457</v>
      </c>
      <c r="O38" s="29">
        <f t="shared" ref="O38:O41" si="19">SUM(BO38:BR38)</f>
        <v>11689</v>
      </c>
      <c r="P38" s="29">
        <f t="shared" ref="P38:P41" si="20">SUM(BS38:BV38)</f>
        <v>14304</v>
      </c>
      <c r="Q38" s="29">
        <f t="shared" si="12"/>
        <v>12509</v>
      </c>
      <c r="R38" s="9"/>
      <c r="S38" s="29"/>
      <c r="T38" s="29"/>
      <c r="U38" s="29"/>
      <c r="V38" s="29"/>
      <c r="W38" s="29">
        <v>1338</v>
      </c>
      <c r="X38" s="29">
        <v>1235</v>
      </c>
      <c r="Y38" s="29">
        <v>1390</v>
      </c>
      <c r="Z38" s="29">
        <v>1834</v>
      </c>
      <c r="AA38" s="29">
        <v>1454</v>
      </c>
      <c r="AB38" s="29">
        <v>1548</v>
      </c>
      <c r="AC38" s="29">
        <v>1752</v>
      </c>
      <c r="AD38" s="29">
        <v>2122</v>
      </c>
      <c r="AE38" s="29">
        <v>2300</v>
      </c>
      <c r="AF38" s="29">
        <v>2033</v>
      </c>
      <c r="AG38" s="29">
        <v>1960</v>
      </c>
      <c r="AH38" s="29">
        <v>2752</v>
      </c>
      <c r="AI38" s="29">
        <v>1028</v>
      </c>
      <c r="AJ38" s="29">
        <v>831</v>
      </c>
      <c r="AK38" s="29">
        <v>2525</v>
      </c>
      <c r="AL38" s="29">
        <v>3457</v>
      </c>
      <c r="AM38" s="29">
        <v>2634</v>
      </c>
      <c r="AN38" s="29">
        <v>1886</v>
      </c>
      <c r="AO38" s="29">
        <v>2069</v>
      </c>
      <c r="AP38" s="29">
        <v>3001</v>
      </c>
      <c r="AQ38" s="29">
        <v>2082</v>
      </c>
      <c r="AR38" s="29">
        <v>2321</v>
      </c>
      <c r="AS38" s="29">
        <v>2331</v>
      </c>
      <c r="AT38" s="29">
        <v>3182</v>
      </c>
      <c r="AU38" s="29">
        <f t="shared" ref="AU38:BH38" si="21">SUM(AU39:AU40)</f>
        <v>2573</v>
      </c>
      <c r="AV38" s="29">
        <f t="shared" si="21"/>
        <v>2532</v>
      </c>
      <c r="AW38" s="29">
        <f t="shared" si="21"/>
        <v>2962</v>
      </c>
      <c r="AX38" s="29">
        <f t="shared" si="21"/>
        <v>4245</v>
      </c>
      <c r="AY38" s="29">
        <f t="shared" si="21"/>
        <v>3470</v>
      </c>
      <c r="AZ38" s="29">
        <f t="shared" si="21"/>
        <v>3060</v>
      </c>
      <c r="BA38" s="29">
        <f t="shared" si="21"/>
        <v>2579</v>
      </c>
      <c r="BB38" s="29">
        <f t="shared" si="21"/>
        <v>2931</v>
      </c>
      <c r="BC38" s="29">
        <f t="shared" si="21"/>
        <v>2323</v>
      </c>
      <c r="BD38" s="29">
        <f t="shared" si="21"/>
        <v>1559</v>
      </c>
      <c r="BE38" s="29">
        <f t="shared" si="21"/>
        <v>2706</v>
      </c>
      <c r="BF38" s="29">
        <f t="shared" si="21"/>
        <v>3137</v>
      </c>
      <c r="BG38" s="30">
        <f t="shared" si="21"/>
        <v>1989</v>
      </c>
      <c r="BH38" s="30">
        <f t="shared" si="21"/>
        <v>2297</v>
      </c>
      <c r="BI38" s="30">
        <v>1869</v>
      </c>
      <c r="BJ38" s="30">
        <v>2405</v>
      </c>
      <c r="BK38" s="30">
        <v>1899</v>
      </c>
      <c r="BL38" s="30">
        <v>1216</v>
      </c>
      <c r="BM38" s="30">
        <v>1572</v>
      </c>
      <c r="BN38" s="66">
        <v>1770</v>
      </c>
      <c r="BO38" s="66">
        <f>BO12</f>
        <v>1555</v>
      </c>
      <c r="BP38" s="66">
        <f t="shared" ref="BP38:BR38" si="22">BP12</f>
        <v>2265</v>
      </c>
      <c r="BQ38" s="66">
        <f t="shared" si="22"/>
        <v>3343</v>
      </c>
      <c r="BR38" s="66">
        <f t="shared" si="22"/>
        <v>4526</v>
      </c>
      <c r="BS38" s="66">
        <v>3816</v>
      </c>
      <c r="BT38" s="66">
        <v>3643</v>
      </c>
      <c r="BU38" s="66">
        <f>3368</f>
        <v>3368</v>
      </c>
      <c r="BV38" s="66">
        <f>3477</f>
        <v>3477</v>
      </c>
      <c r="BW38" s="66">
        <f>4075</f>
        <v>4075</v>
      </c>
      <c r="BX38" s="66">
        <f>2479</f>
        <v>2479</v>
      </c>
      <c r="BY38" s="66">
        <f>2772</f>
        <v>2772</v>
      </c>
      <c r="BZ38" s="66">
        <f>3183</f>
        <v>3183</v>
      </c>
    </row>
    <row r="39" spans="1:78" x14ac:dyDescent="0.2">
      <c r="A39" s="22" t="s">
        <v>92</v>
      </c>
      <c r="B39" s="7"/>
      <c r="C39" s="21"/>
      <c r="D39" s="21"/>
      <c r="E39" s="21"/>
      <c r="F39" s="21"/>
      <c r="G39" s="21"/>
      <c r="H39" s="21"/>
      <c r="I39" s="21"/>
      <c r="J39" s="21">
        <f>SUM(AU39:AX39)</f>
        <v>5976</v>
      </c>
      <c r="K39" s="21">
        <f>SUM(AY39:BB39)</f>
        <v>5619</v>
      </c>
      <c r="L39" s="21">
        <f>SUM(BC39:BF39)</f>
        <v>4938</v>
      </c>
      <c r="M39" s="21">
        <f>SUM(BG39:BJ39)</f>
        <v>4654</v>
      </c>
      <c r="N39" s="21">
        <f t="shared" si="10"/>
        <v>2645</v>
      </c>
      <c r="O39" s="21">
        <f t="shared" si="19"/>
        <v>4269</v>
      </c>
      <c r="P39" s="21">
        <f t="shared" si="20"/>
        <v>5372</v>
      </c>
      <c r="Q39" s="21">
        <f t="shared" si="12"/>
        <v>4674</v>
      </c>
      <c r="R39" s="9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>
        <v>1142</v>
      </c>
      <c r="AV39" s="21">
        <v>1246</v>
      </c>
      <c r="AW39" s="21">
        <v>1430</v>
      </c>
      <c r="AX39" s="21">
        <v>2158</v>
      </c>
      <c r="AY39" s="21">
        <v>1763</v>
      </c>
      <c r="AZ39" s="21">
        <v>1454</v>
      </c>
      <c r="BA39" s="21">
        <v>1235</v>
      </c>
      <c r="BB39" s="21">
        <v>1167</v>
      </c>
      <c r="BC39" s="21">
        <v>1122</v>
      </c>
      <c r="BD39" s="21">
        <v>640</v>
      </c>
      <c r="BE39" s="21">
        <v>1461</v>
      </c>
      <c r="BF39" s="21">
        <v>1715</v>
      </c>
      <c r="BG39" s="20">
        <v>1030</v>
      </c>
      <c r="BH39" s="20">
        <v>1479</v>
      </c>
      <c r="BI39" s="20">
        <v>999</v>
      </c>
      <c r="BJ39" s="20">
        <v>1146</v>
      </c>
      <c r="BK39" s="20">
        <v>824</v>
      </c>
      <c r="BL39" s="20">
        <v>638</v>
      </c>
      <c r="BM39" s="20">
        <v>565</v>
      </c>
      <c r="BN39" s="20">
        <v>618</v>
      </c>
      <c r="BO39" s="20">
        <v>624</v>
      </c>
      <c r="BP39" s="20">
        <v>782</v>
      </c>
      <c r="BQ39" s="20">
        <v>1256</v>
      </c>
      <c r="BR39" s="20">
        <v>1607</v>
      </c>
      <c r="BS39" s="20">
        <v>1856</v>
      </c>
      <c r="BT39" s="20">
        <v>1250</v>
      </c>
      <c r="BU39" s="20">
        <f>1136</f>
        <v>1136</v>
      </c>
      <c r="BV39" s="20">
        <f>1130</f>
        <v>1130</v>
      </c>
      <c r="BW39" s="20">
        <f>1650</f>
        <v>1650</v>
      </c>
      <c r="BX39" s="20">
        <f>857</f>
        <v>857</v>
      </c>
      <c r="BY39" s="20">
        <f>1173</f>
        <v>1173</v>
      </c>
      <c r="BZ39" s="20">
        <f>994</f>
        <v>994</v>
      </c>
    </row>
    <row r="40" spans="1:78" x14ac:dyDescent="0.2">
      <c r="A40" s="22" t="s">
        <v>93</v>
      </c>
      <c r="B40" s="7"/>
      <c r="C40" s="21"/>
      <c r="D40" s="21"/>
      <c r="E40" s="21"/>
      <c r="F40" s="21"/>
      <c r="G40" s="21"/>
      <c r="H40" s="21"/>
      <c r="I40" s="21"/>
      <c r="J40" s="21">
        <f>SUM(AU40:AX40)</f>
        <v>6336</v>
      </c>
      <c r="K40" s="21">
        <f>SUM(AY40:BB40)</f>
        <v>6421</v>
      </c>
      <c r="L40" s="21">
        <f>SUM(BC40:BF40)</f>
        <v>4787</v>
      </c>
      <c r="M40" s="21">
        <f>SUM(BG40:BJ40)</f>
        <v>3906</v>
      </c>
      <c r="N40" s="21">
        <f t="shared" si="10"/>
        <v>2609</v>
      </c>
      <c r="O40" s="21">
        <f t="shared" si="19"/>
        <v>3456</v>
      </c>
      <c r="P40" s="21">
        <f t="shared" si="20"/>
        <v>4795</v>
      </c>
      <c r="Q40" s="21">
        <f t="shared" si="12"/>
        <v>4650</v>
      </c>
      <c r="R40" s="9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>
        <v>1431</v>
      </c>
      <c r="AV40" s="21">
        <v>1286</v>
      </c>
      <c r="AW40" s="21">
        <v>1532</v>
      </c>
      <c r="AX40" s="21">
        <v>2087</v>
      </c>
      <c r="AY40" s="21">
        <v>1707</v>
      </c>
      <c r="AZ40" s="21">
        <v>1606</v>
      </c>
      <c r="BA40" s="21">
        <v>1344</v>
      </c>
      <c r="BB40" s="21">
        <v>1764</v>
      </c>
      <c r="BC40" s="21">
        <v>1201</v>
      </c>
      <c r="BD40" s="21">
        <v>919</v>
      </c>
      <c r="BE40" s="21">
        <v>1245</v>
      </c>
      <c r="BF40" s="21">
        <v>1422</v>
      </c>
      <c r="BG40" s="20">
        <v>959</v>
      </c>
      <c r="BH40" s="20">
        <v>818</v>
      </c>
      <c r="BI40" s="20">
        <v>870</v>
      </c>
      <c r="BJ40" s="20">
        <v>1259</v>
      </c>
      <c r="BK40" s="20">
        <v>1075</v>
      </c>
      <c r="BL40" s="20">
        <v>460</v>
      </c>
      <c r="BM40" s="20">
        <v>541</v>
      </c>
      <c r="BN40" s="20">
        <v>533</v>
      </c>
      <c r="BO40" s="20">
        <v>398</v>
      </c>
      <c r="BP40" s="20">
        <v>715</v>
      </c>
      <c r="BQ40" s="20">
        <v>947</v>
      </c>
      <c r="BR40" s="20">
        <v>1396</v>
      </c>
      <c r="BS40" s="20">
        <v>902</v>
      </c>
      <c r="BT40" s="20">
        <v>1078</v>
      </c>
      <c r="BU40" s="20">
        <f>1247</f>
        <v>1247</v>
      </c>
      <c r="BV40" s="20">
        <f>1568</f>
        <v>1568</v>
      </c>
      <c r="BW40" s="20">
        <f>1535</f>
        <v>1535</v>
      </c>
      <c r="BX40" s="20">
        <f>908</f>
        <v>908</v>
      </c>
      <c r="BY40" s="20">
        <f>903</f>
        <v>903</v>
      </c>
      <c r="BZ40" s="20">
        <f>1304</f>
        <v>1304</v>
      </c>
    </row>
    <row r="41" spans="1:78" x14ac:dyDescent="0.2">
      <c r="A41" s="22" t="s">
        <v>304</v>
      </c>
      <c r="B41" s="7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>
        <f>SUM(BK41:BN41)</f>
        <v>1203</v>
      </c>
      <c r="O41" s="21">
        <f t="shared" si="19"/>
        <v>3964</v>
      </c>
      <c r="P41" s="21">
        <f t="shared" si="20"/>
        <v>4137</v>
      </c>
      <c r="Q41" s="21">
        <f t="shared" si="12"/>
        <v>3185</v>
      </c>
      <c r="R41" s="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0"/>
      <c r="BH41" s="20"/>
      <c r="BI41" s="20"/>
      <c r="BJ41" s="20"/>
      <c r="BK41" s="20"/>
      <c r="BL41" s="20">
        <v>118</v>
      </c>
      <c r="BM41" s="20">
        <v>466</v>
      </c>
      <c r="BN41" s="20">
        <v>619</v>
      </c>
      <c r="BO41" s="20">
        <v>533</v>
      </c>
      <c r="BP41" s="20">
        <v>768</v>
      </c>
      <c r="BQ41" s="20">
        <v>1140</v>
      </c>
      <c r="BR41" s="20">
        <v>1523</v>
      </c>
      <c r="BS41" s="20">
        <v>1058</v>
      </c>
      <c r="BT41" s="20">
        <v>1315</v>
      </c>
      <c r="BU41" s="20">
        <f>985</f>
        <v>985</v>
      </c>
      <c r="BV41" s="20">
        <f>779</f>
        <v>779</v>
      </c>
      <c r="BW41" s="20">
        <f>890</f>
        <v>890</v>
      </c>
      <c r="BX41" s="20">
        <f>714</f>
        <v>714</v>
      </c>
      <c r="BY41" s="20">
        <f>696</f>
        <v>696</v>
      </c>
      <c r="BZ41" s="20">
        <f>885</f>
        <v>885</v>
      </c>
    </row>
    <row r="42" spans="1:78" x14ac:dyDescent="0.2">
      <c r="A42" s="23"/>
      <c r="B42" s="7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9"/>
      <c r="R42" s="9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0"/>
      <c r="BH42" s="20"/>
      <c r="BI42" s="20"/>
      <c r="BJ42" s="20"/>
      <c r="BK42" s="20"/>
      <c r="BL42" s="20"/>
      <c r="BM42" s="20"/>
      <c r="BT42" s="6"/>
      <c r="BU42" s="6"/>
      <c r="BV42" s="6"/>
      <c r="BW42" s="6"/>
      <c r="BX42" s="6"/>
      <c r="BY42" s="6"/>
      <c r="BZ42" s="6"/>
    </row>
    <row r="43" spans="1:78" x14ac:dyDescent="0.2">
      <c r="A43" s="5" t="s">
        <v>91</v>
      </c>
      <c r="B43" s="7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9"/>
      <c r="R43" s="9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0"/>
      <c r="BH43" s="20"/>
      <c r="BI43" s="20"/>
      <c r="BJ43" s="20"/>
      <c r="BK43" s="9"/>
      <c r="BL43" s="9"/>
      <c r="BM43" s="9"/>
      <c r="BT43" s="6"/>
      <c r="BU43" s="6"/>
      <c r="BV43" s="6"/>
      <c r="BW43" s="6"/>
      <c r="BX43" s="6"/>
      <c r="BY43" s="6"/>
      <c r="BZ43" s="6"/>
    </row>
    <row r="44" spans="1:78" x14ac:dyDescent="0.2">
      <c r="A44" s="28" t="s">
        <v>27</v>
      </c>
      <c r="B44" s="7" t="s">
        <v>38</v>
      </c>
      <c r="C44" s="29">
        <f>SUM(S44:V44)</f>
        <v>270012</v>
      </c>
      <c r="D44" s="29">
        <f>SUM(W44:Z44)</f>
        <v>316466</v>
      </c>
      <c r="E44" s="29">
        <f>SUM(AA44:AD44)</f>
        <v>356075</v>
      </c>
      <c r="F44" s="29">
        <f>SUM(AE44:AH44)</f>
        <v>457055</v>
      </c>
      <c r="G44" s="29">
        <f>SUM(AI44:AL44)</f>
        <v>385252</v>
      </c>
      <c r="H44" s="29">
        <f>SUM(AM44:AP44)</f>
        <v>496008</v>
      </c>
      <c r="I44" s="29">
        <f>SUM(AQ44:AT44)</f>
        <v>512161</v>
      </c>
      <c r="J44" s="29">
        <f t="shared" ref="J44:J50" si="23">SUM(AU44:AX44)</f>
        <v>627996</v>
      </c>
      <c r="K44" s="29">
        <f t="shared" ref="K44:K50" si="24">SUM(AY44:BB44)</f>
        <v>630399.1100000001</v>
      </c>
      <c r="L44" s="29">
        <f t="shared" ref="L44:L50" si="25">SUM(BC44:BF44)</f>
        <v>538194.04</v>
      </c>
      <c r="M44" s="29">
        <f>SUM(BG44:BJ44)</f>
        <v>446479.84000000008</v>
      </c>
      <c r="N44" s="29">
        <f>SUM(BK44:BN44)</f>
        <v>292395</v>
      </c>
      <c r="O44" s="29">
        <f t="shared" ref="O44:O51" si="26">SUM(BO44:BR44)</f>
        <v>547234.76</v>
      </c>
      <c r="P44" s="29">
        <f t="shared" ref="P44:P51" si="27">SUM(BS44:BV44)</f>
        <v>699959.08999999985</v>
      </c>
      <c r="Q44" s="29">
        <f t="shared" si="12"/>
        <v>671436.56999999983</v>
      </c>
      <c r="R44" s="28"/>
      <c r="S44" s="29">
        <v>59638</v>
      </c>
      <c r="T44" s="29">
        <v>62544</v>
      </c>
      <c r="U44" s="29">
        <v>63737</v>
      </c>
      <c r="V44" s="29">
        <v>84093</v>
      </c>
      <c r="W44" s="29">
        <v>77726</v>
      </c>
      <c r="X44" s="29">
        <v>69155</v>
      </c>
      <c r="Y44" s="29">
        <v>75102</v>
      </c>
      <c r="Z44" s="29">
        <v>94483</v>
      </c>
      <c r="AA44" s="29">
        <v>73481</v>
      </c>
      <c r="AB44" s="29">
        <v>80042</v>
      </c>
      <c r="AC44" s="29">
        <v>92755</v>
      </c>
      <c r="AD44" s="29">
        <v>109797</v>
      </c>
      <c r="AE44" s="29">
        <v>109060</v>
      </c>
      <c r="AF44" s="29">
        <v>94914</v>
      </c>
      <c r="AG44" s="29">
        <v>106039</v>
      </c>
      <c r="AH44" s="29">
        <v>147042</v>
      </c>
      <c r="AI44" s="29">
        <v>46990</v>
      </c>
      <c r="AJ44" s="29">
        <v>41973</v>
      </c>
      <c r="AK44" s="29">
        <v>121522</v>
      </c>
      <c r="AL44" s="29">
        <v>174767</v>
      </c>
      <c r="AM44" s="29">
        <v>135003</v>
      </c>
      <c r="AN44" s="29">
        <v>100599</v>
      </c>
      <c r="AO44" s="29">
        <v>106661</v>
      </c>
      <c r="AP44" s="29">
        <v>153745</v>
      </c>
      <c r="AQ44" s="29">
        <v>113646</v>
      </c>
      <c r="AR44" s="29">
        <v>122427</v>
      </c>
      <c r="AS44" s="29">
        <v>113979</v>
      </c>
      <c r="AT44" s="29">
        <v>162109</v>
      </c>
      <c r="AU44" s="29">
        <f t="shared" ref="AU44:BH44" si="28">SUM(AU45:AU46)</f>
        <v>134075</v>
      </c>
      <c r="AV44" s="29">
        <f t="shared" si="28"/>
        <v>128468</v>
      </c>
      <c r="AW44" s="29">
        <f t="shared" si="28"/>
        <v>154097</v>
      </c>
      <c r="AX44" s="29">
        <f t="shared" si="28"/>
        <v>211356</v>
      </c>
      <c r="AY44" s="29">
        <f t="shared" si="28"/>
        <v>167954.35</v>
      </c>
      <c r="AZ44" s="29">
        <f t="shared" si="28"/>
        <v>154257.26999999999</v>
      </c>
      <c r="BA44" s="29">
        <f t="shared" si="28"/>
        <v>136657.72000000003</v>
      </c>
      <c r="BB44" s="29">
        <f t="shared" si="28"/>
        <v>171529.77000000008</v>
      </c>
      <c r="BC44" s="29">
        <f t="shared" si="28"/>
        <v>125971.08000000002</v>
      </c>
      <c r="BD44" s="29">
        <f t="shared" si="28"/>
        <v>94984.22</v>
      </c>
      <c r="BE44" s="29">
        <f t="shared" si="28"/>
        <v>150450.69999999992</v>
      </c>
      <c r="BF44" s="29">
        <f t="shared" si="28"/>
        <v>166788.04000000004</v>
      </c>
      <c r="BG44" s="29">
        <f t="shared" si="28"/>
        <v>98670.300000000032</v>
      </c>
      <c r="BH44" s="29">
        <f t="shared" si="28"/>
        <v>122269.54000000005</v>
      </c>
      <c r="BI44" s="30">
        <v>96470</v>
      </c>
      <c r="BJ44" s="30">
        <v>129070</v>
      </c>
      <c r="BK44" s="30">
        <v>90439</v>
      </c>
      <c r="BL44" s="30">
        <v>53036</v>
      </c>
      <c r="BM44" s="30">
        <v>66986</v>
      </c>
      <c r="BN44" s="66">
        <v>81934</v>
      </c>
      <c r="BO44" s="66">
        <f>BO17</f>
        <v>73632.870000000039</v>
      </c>
      <c r="BP44" s="66">
        <f t="shared" ref="BP44:BR44" si="29">BP17</f>
        <v>110647.41</v>
      </c>
      <c r="BQ44" s="66">
        <f t="shared" si="29"/>
        <v>156337.03</v>
      </c>
      <c r="BR44" s="66">
        <f t="shared" si="29"/>
        <v>206617.44999999995</v>
      </c>
      <c r="BS44" s="66">
        <v>189205</v>
      </c>
      <c r="BT44" s="66">
        <v>195951.15999999989</v>
      </c>
      <c r="BU44" s="66">
        <v>157360.99999999997</v>
      </c>
      <c r="BV44" s="66">
        <v>157441.93</v>
      </c>
      <c r="BW44" s="66">
        <v>192077.43000000005</v>
      </c>
      <c r="BX44" s="66">
        <v>103677.55000000002</v>
      </c>
      <c r="BY44" s="66">
        <v>175226.06999999983</v>
      </c>
      <c r="BZ44" s="66">
        <v>200455.51999999996</v>
      </c>
    </row>
    <row r="45" spans="1:78" x14ac:dyDescent="0.2">
      <c r="A45" s="22" t="s">
        <v>92</v>
      </c>
      <c r="B45" s="7" t="s">
        <v>38</v>
      </c>
      <c r="C45" s="21"/>
      <c r="D45" s="21"/>
      <c r="E45" s="21"/>
      <c r="F45" s="21"/>
      <c r="G45" s="21"/>
      <c r="H45" s="21"/>
      <c r="I45" s="21"/>
      <c r="J45" s="21">
        <f t="shared" si="23"/>
        <v>303334</v>
      </c>
      <c r="K45" s="21">
        <f t="shared" si="24"/>
        <v>302559.66000000003</v>
      </c>
      <c r="L45" s="21">
        <f>SUM(BC45:BF45)</f>
        <v>272421.21999999997</v>
      </c>
      <c r="M45" s="21">
        <f>SUM(BG45:BJ45)</f>
        <v>237411.64000000007</v>
      </c>
      <c r="N45" s="21">
        <f t="shared" si="10"/>
        <v>121371</v>
      </c>
      <c r="O45" s="21">
        <f t="shared" si="26"/>
        <v>210598.25999999995</v>
      </c>
      <c r="P45" s="21">
        <f t="shared" si="27"/>
        <v>248514</v>
      </c>
      <c r="Q45" s="21">
        <f t="shared" si="12"/>
        <v>333105.71000000008</v>
      </c>
      <c r="R45" s="9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112">
        <v>59469</v>
      </c>
      <c r="AV45" s="112">
        <v>60065</v>
      </c>
      <c r="AW45" s="112">
        <v>77106</v>
      </c>
      <c r="AX45" s="112">
        <v>106694</v>
      </c>
      <c r="AY45" s="112">
        <v>86148.08</v>
      </c>
      <c r="AZ45" s="112">
        <v>75252.180000000022</v>
      </c>
      <c r="BA45" s="112">
        <v>71074.990000000005</v>
      </c>
      <c r="BB45" s="112">
        <v>70084.410000000033</v>
      </c>
      <c r="BC45" s="112">
        <v>59171.260000000038</v>
      </c>
      <c r="BD45" s="112">
        <v>46766.600000000006</v>
      </c>
      <c r="BE45" s="112">
        <v>80013.769999999946</v>
      </c>
      <c r="BF45" s="112">
        <v>86469.59</v>
      </c>
      <c r="BG45" s="34">
        <v>51765.600000000035</v>
      </c>
      <c r="BH45" s="34">
        <v>79351.850000000049</v>
      </c>
      <c r="BI45" s="20">
        <v>49444.9</v>
      </c>
      <c r="BJ45" s="20">
        <v>56849.29</v>
      </c>
      <c r="BK45" s="20">
        <v>42536</v>
      </c>
      <c r="BL45" s="20">
        <v>25114</v>
      </c>
      <c r="BM45" s="20">
        <v>25228</v>
      </c>
      <c r="BN45" s="65">
        <v>28493</v>
      </c>
      <c r="BO45" s="20">
        <v>29529.599999999999</v>
      </c>
      <c r="BP45" s="20">
        <v>40979.620000000003</v>
      </c>
      <c r="BQ45" s="20">
        <v>60858.509999999987</v>
      </c>
      <c r="BR45" s="20">
        <v>79230.529999999984</v>
      </c>
      <c r="BS45" s="20">
        <v>89179</v>
      </c>
      <c r="BT45" s="20">
        <v>58272</v>
      </c>
      <c r="BU45" s="20">
        <v>55445</v>
      </c>
      <c r="BV45" s="20">
        <v>45618</v>
      </c>
      <c r="BW45" s="20">
        <v>89391.600000000035</v>
      </c>
      <c r="BX45" s="20">
        <v>32466.599999999991</v>
      </c>
      <c r="BY45" s="20">
        <v>94067.400000000023</v>
      </c>
      <c r="BZ45" s="20">
        <v>117180.11000000002</v>
      </c>
    </row>
    <row r="46" spans="1:78" x14ac:dyDescent="0.2">
      <c r="A46" s="22" t="s">
        <v>93</v>
      </c>
      <c r="B46" s="7" t="s">
        <v>38</v>
      </c>
      <c r="C46" s="21"/>
      <c r="D46" s="21"/>
      <c r="E46" s="21"/>
      <c r="F46" s="21"/>
      <c r="G46" s="21"/>
      <c r="H46" s="21"/>
      <c r="I46" s="21"/>
      <c r="J46" s="21">
        <f t="shared" si="23"/>
        <v>324662</v>
      </c>
      <c r="K46" s="21">
        <f t="shared" si="24"/>
        <v>327839.45000000007</v>
      </c>
      <c r="L46" s="21">
        <f>SUM(BC46:BF46)</f>
        <v>265772.81999999995</v>
      </c>
      <c r="M46" s="21">
        <f>SUM(BG46:BJ46)</f>
        <v>209068.39</v>
      </c>
      <c r="N46" s="21">
        <f t="shared" si="10"/>
        <v>120619</v>
      </c>
      <c r="O46" s="21">
        <f t="shared" si="26"/>
        <v>148232.03</v>
      </c>
      <c r="P46" s="21">
        <f t="shared" si="27"/>
        <v>250849.21999999997</v>
      </c>
      <c r="Q46" s="21">
        <f t="shared" si="12"/>
        <v>199883.81</v>
      </c>
      <c r="R46" s="9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112">
        <v>74606</v>
      </c>
      <c r="AV46" s="112">
        <v>68403</v>
      </c>
      <c r="AW46" s="112">
        <v>76991</v>
      </c>
      <c r="AX46" s="112">
        <v>104662</v>
      </c>
      <c r="AY46" s="112">
        <v>81806.27</v>
      </c>
      <c r="AZ46" s="112">
        <v>79005.089999999967</v>
      </c>
      <c r="BA46" s="112">
        <v>65582.73000000001</v>
      </c>
      <c r="BB46" s="112">
        <v>101445.36000000004</v>
      </c>
      <c r="BC46" s="112">
        <v>66799.819999999978</v>
      </c>
      <c r="BD46" s="112">
        <v>48217.619999999995</v>
      </c>
      <c r="BE46" s="112">
        <v>70436.929999999978</v>
      </c>
      <c r="BF46" s="112">
        <v>80318.450000000026</v>
      </c>
      <c r="BG46" s="34">
        <v>46904.7</v>
      </c>
      <c r="BH46" s="34">
        <v>42917.69</v>
      </c>
      <c r="BI46" s="20">
        <v>47026</v>
      </c>
      <c r="BJ46" s="20">
        <v>72220</v>
      </c>
      <c r="BK46" s="20">
        <v>47903</v>
      </c>
      <c r="BL46" s="20">
        <v>23413</v>
      </c>
      <c r="BM46" s="20">
        <v>23769</v>
      </c>
      <c r="BN46" s="65">
        <v>25534</v>
      </c>
      <c r="BO46" s="20">
        <v>18949.059999999998</v>
      </c>
      <c r="BP46" s="20">
        <v>34151.409999999996</v>
      </c>
      <c r="BQ46" s="20">
        <v>40464.200000000004</v>
      </c>
      <c r="BR46" s="20">
        <v>54667.360000000001</v>
      </c>
      <c r="BS46" s="20">
        <v>48654.859999999993</v>
      </c>
      <c r="BT46" s="20">
        <v>72584.56</v>
      </c>
      <c r="BU46" s="20">
        <v>54977.8</v>
      </c>
      <c r="BV46" s="20">
        <v>74632.000000000015</v>
      </c>
      <c r="BW46" s="20">
        <v>63817.410000000011</v>
      </c>
      <c r="BX46" s="20">
        <v>38400.959999999999</v>
      </c>
      <c r="BY46" s="20">
        <v>49838.2</v>
      </c>
      <c r="BZ46" s="20">
        <v>47827.240000000005</v>
      </c>
    </row>
    <row r="47" spans="1:78" x14ac:dyDescent="0.2">
      <c r="A47" s="22" t="s">
        <v>304</v>
      </c>
      <c r="B47" s="7" t="s">
        <v>38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>
        <f>SUM(BK47:BN47)</f>
        <v>50405</v>
      </c>
      <c r="O47" s="21">
        <f t="shared" si="26"/>
        <v>188350.37</v>
      </c>
      <c r="P47" s="21">
        <f>SUM(BS47:BV47)</f>
        <v>200596.29</v>
      </c>
      <c r="Q47" s="21">
        <f t="shared" si="12"/>
        <v>138447.04999999999</v>
      </c>
      <c r="R47" s="9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34"/>
      <c r="BH47" s="34"/>
      <c r="BI47" s="20"/>
      <c r="BJ47" s="20"/>
      <c r="BK47" s="20"/>
      <c r="BL47" s="20">
        <v>4509</v>
      </c>
      <c r="BM47" s="20">
        <v>17989</v>
      </c>
      <c r="BN47" s="20">
        <v>27907</v>
      </c>
      <c r="BO47" s="20">
        <v>25154.21</v>
      </c>
      <c r="BP47" s="20">
        <v>35503.880000000005</v>
      </c>
      <c r="BQ47" s="20">
        <v>54972.719999999987</v>
      </c>
      <c r="BR47" s="20">
        <v>72719.559999999983</v>
      </c>
      <c r="BS47" s="20">
        <v>51370.71</v>
      </c>
      <c r="BT47" s="20">
        <v>65094.930000000008</v>
      </c>
      <c r="BU47" s="20">
        <v>46938.42</v>
      </c>
      <c r="BV47" s="20">
        <v>37192.23000000001</v>
      </c>
      <c r="BW47" s="20">
        <v>38868.42</v>
      </c>
      <c r="BX47" s="20">
        <v>32809.99</v>
      </c>
      <c r="BY47" s="20">
        <v>31320.469999999994</v>
      </c>
      <c r="BZ47" s="20">
        <v>35448.17</v>
      </c>
    </row>
    <row r="48" spans="1:78" x14ac:dyDescent="0.2">
      <c r="A48" s="28" t="s">
        <v>39</v>
      </c>
      <c r="B48" s="7" t="s">
        <v>38</v>
      </c>
      <c r="C48" s="29">
        <v>328435</v>
      </c>
      <c r="D48" s="29">
        <v>363120</v>
      </c>
      <c r="E48" s="29">
        <v>468248</v>
      </c>
      <c r="F48" s="29">
        <v>583483</v>
      </c>
      <c r="G48" s="29">
        <v>502203</v>
      </c>
      <c r="H48" s="29">
        <v>420325</v>
      </c>
      <c r="I48" s="29">
        <f>SUM(AQ48:AT48)</f>
        <v>422946</v>
      </c>
      <c r="J48" s="29">
        <f t="shared" si="23"/>
        <v>479339</v>
      </c>
      <c r="K48" s="29">
        <f t="shared" si="24"/>
        <v>621866.93999999994</v>
      </c>
      <c r="L48" s="29">
        <f t="shared" si="25"/>
        <v>540325.10000000009</v>
      </c>
      <c r="M48" s="29">
        <f>SUM(BG48:BJ48)</f>
        <v>421209.4</v>
      </c>
      <c r="N48" s="29">
        <f t="shared" si="10"/>
        <v>734773</v>
      </c>
      <c r="O48" s="29">
        <f t="shared" si="26"/>
        <v>416726.2</v>
      </c>
      <c r="P48" s="29">
        <f t="shared" si="27"/>
        <v>161232</v>
      </c>
      <c r="Q48" s="29">
        <f t="shared" si="12"/>
        <v>483472</v>
      </c>
      <c r="R48" s="28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>
        <v>0</v>
      </c>
      <c r="AR48" s="29">
        <v>107796.6</v>
      </c>
      <c r="AS48" s="29">
        <v>19771.7</v>
      </c>
      <c r="AT48" s="29">
        <v>295377.7</v>
      </c>
      <c r="AU48" s="29">
        <v>0</v>
      </c>
      <c r="AV48" s="29">
        <v>0</v>
      </c>
      <c r="AW48" s="30">
        <f t="shared" ref="AW48:BH48" si="30">SUM(AW49:AW50)</f>
        <v>56270</v>
      </c>
      <c r="AX48" s="30">
        <f t="shared" si="30"/>
        <v>423069</v>
      </c>
      <c r="AY48" s="30">
        <f t="shared" si="30"/>
        <v>34538.639999999999</v>
      </c>
      <c r="AZ48" s="30">
        <f t="shared" si="30"/>
        <v>211804.59999999998</v>
      </c>
      <c r="BA48" s="30">
        <f t="shared" si="30"/>
        <v>67230.100000000006</v>
      </c>
      <c r="BB48" s="30">
        <f t="shared" si="30"/>
        <v>308293.60000000003</v>
      </c>
      <c r="BC48" s="30">
        <f t="shared" si="30"/>
        <v>88512.6</v>
      </c>
      <c r="BD48" s="30">
        <f t="shared" si="30"/>
        <v>88846.8</v>
      </c>
      <c r="BE48" s="30">
        <f t="shared" si="30"/>
        <v>15569.7</v>
      </c>
      <c r="BF48" s="30">
        <f t="shared" si="30"/>
        <v>347396</v>
      </c>
      <c r="BG48" s="30">
        <f t="shared" si="30"/>
        <v>3028.4</v>
      </c>
      <c r="BH48" s="30">
        <f t="shared" si="30"/>
        <v>0</v>
      </c>
      <c r="BI48" s="30">
        <v>181071</v>
      </c>
      <c r="BJ48" s="30">
        <v>237110</v>
      </c>
      <c r="BK48" s="30">
        <v>175693</v>
      </c>
      <c r="BL48" s="30">
        <v>58981</v>
      </c>
      <c r="BM48" s="30">
        <v>91295</v>
      </c>
      <c r="BN48" s="66">
        <v>408804</v>
      </c>
      <c r="BO48" s="66">
        <f>BO18</f>
        <v>88068.2</v>
      </c>
      <c r="BP48" s="66">
        <f t="shared" ref="BP48:BR48" si="31">BP18</f>
        <v>107671.70000000001</v>
      </c>
      <c r="BQ48" s="66">
        <f t="shared" si="31"/>
        <v>43235.3</v>
      </c>
      <c r="BR48" s="66">
        <f t="shared" si="31"/>
        <v>177751</v>
      </c>
      <c r="BS48" s="66">
        <v>0</v>
      </c>
      <c r="BT48" s="66">
        <v>50919</v>
      </c>
      <c r="BU48" s="66">
        <f>35495</f>
        <v>35495</v>
      </c>
      <c r="BV48" s="66">
        <f>74818</f>
        <v>74818</v>
      </c>
      <c r="BW48" s="66">
        <f>73153</f>
        <v>73153</v>
      </c>
      <c r="BX48" s="66">
        <f>90700</f>
        <v>90700</v>
      </c>
      <c r="BY48" s="66">
        <f>149778</f>
        <v>149778</v>
      </c>
      <c r="BZ48" s="66">
        <f>169841</f>
        <v>169841</v>
      </c>
    </row>
    <row r="49" spans="1:78" x14ac:dyDescent="0.2">
      <c r="A49" s="22" t="s">
        <v>92</v>
      </c>
      <c r="B49" s="7" t="s">
        <v>38</v>
      </c>
      <c r="C49" s="21"/>
      <c r="D49" s="21"/>
      <c r="E49" s="21"/>
      <c r="F49" s="21"/>
      <c r="G49" s="21"/>
      <c r="H49" s="21"/>
      <c r="I49" s="21"/>
      <c r="J49" s="21">
        <f t="shared" si="23"/>
        <v>225798</v>
      </c>
      <c r="K49" s="21">
        <f t="shared" si="24"/>
        <v>353129.14</v>
      </c>
      <c r="L49" s="21">
        <f t="shared" si="25"/>
        <v>193424.6</v>
      </c>
      <c r="M49" s="21">
        <f t="shared" ref="M49" si="32">SUM(BG49:BJ49)</f>
        <v>176067.4</v>
      </c>
      <c r="N49" s="21">
        <f t="shared" si="10"/>
        <v>343972</v>
      </c>
      <c r="O49" s="21">
        <f t="shared" si="26"/>
        <v>205627</v>
      </c>
      <c r="P49" s="21">
        <f t="shared" si="27"/>
        <v>24271</v>
      </c>
      <c r="Q49" s="21">
        <f t="shared" si="12"/>
        <v>124249</v>
      </c>
      <c r="R49" s="9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112" t="s">
        <v>94</v>
      </c>
      <c r="AV49" s="112" t="s">
        <v>94</v>
      </c>
      <c r="AW49" s="112">
        <v>0</v>
      </c>
      <c r="AX49" s="112">
        <v>225798</v>
      </c>
      <c r="AY49" s="112">
        <v>34538.639999999999</v>
      </c>
      <c r="AZ49" s="112">
        <v>211804.59999999998</v>
      </c>
      <c r="BA49" s="112">
        <v>4304.3999999999996</v>
      </c>
      <c r="BB49" s="112">
        <v>102481.50000000001</v>
      </c>
      <c r="BC49" s="112">
        <v>88512.6</v>
      </c>
      <c r="BD49" s="112">
        <v>15375.300000000001</v>
      </c>
      <c r="BE49" s="112">
        <v>15569.7</v>
      </c>
      <c r="BF49" s="112">
        <v>73967</v>
      </c>
      <c r="BG49" s="112">
        <v>3028.4</v>
      </c>
      <c r="BH49" s="112">
        <v>0</v>
      </c>
      <c r="BI49" s="112">
        <v>87161</v>
      </c>
      <c r="BJ49" s="112">
        <v>85878</v>
      </c>
      <c r="BK49" s="112">
        <v>175693</v>
      </c>
      <c r="BL49" s="112">
        <v>18203</v>
      </c>
      <c r="BM49" s="112">
        <v>56250</v>
      </c>
      <c r="BN49" s="112">
        <v>93826</v>
      </c>
      <c r="BO49" s="112">
        <v>0</v>
      </c>
      <c r="BP49" s="112">
        <v>48729.599999999999</v>
      </c>
      <c r="BQ49" s="112">
        <v>18036.7</v>
      </c>
      <c r="BR49" s="112">
        <v>138860.70000000001</v>
      </c>
      <c r="BS49" s="112">
        <v>0</v>
      </c>
      <c r="BT49" s="112">
        <v>0</v>
      </c>
      <c r="BU49" s="112">
        <f>0</f>
        <v>0</v>
      </c>
      <c r="BV49" s="112">
        <f>24271</f>
        <v>24271</v>
      </c>
      <c r="BW49" s="112">
        <v>38035.5</v>
      </c>
      <c r="BX49" s="112">
        <v>17677.7</v>
      </c>
      <c r="BY49" s="112">
        <v>13232.2</v>
      </c>
      <c r="BZ49" s="112">
        <v>55303.600000000006</v>
      </c>
    </row>
    <row r="50" spans="1:78" x14ac:dyDescent="0.2">
      <c r="A50" s="22" t="s">
        <v>93</v>
      </c>
      <c r="B50" s="7" t="s">
        <v>38</v>
      </c>
      <c r="C50" s="21"/>
      <c r="D50" s="21"/>
      <c r="E50" s="21"/>
      <c r="F50" s="21"/>
      <c r="G50" s="21"/>
      <c r="H50" s="21"/>
      <c r="I50" s="21"/>
      <c r="J50" s="21">
        <f t="shared" si="23"/>
        <v>253541</v>
      </c>
      <c r="K50" s="21">
        <f t="shared" si="24"/>
        <v>268737.8</v>
      </c>
      <c r="L50" s="21">
        <f t="shared" si="25"/>
        <v>346900.5</v>
      </c>
      <c r="M50" s="21">
        <f>SUM(BG50:BJ50)</f>
        <v>245141.2</v>
      </c>
      <c r="N50" s="21">
        <f t="shared" si="10"/>
        <v>337579</v>
      </c>
      <c r="O50" s="21">
        <f t="shared" si="26"/>
        <v>140581.4</v>
      </c>
      <c r="P50" s="21">
        <f t="shared" si="27"/>
        <v>73819</v>
      </c>
      <c r="Q50" s="21">
        <f t="shared" si="12"/>
        <v>52222.6</v>
      </c>
      <c r="R50" s="9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112" t="s">
        <v>94</v>
      </c>
      <c r="AV50" s="112" t="s">
        <v>94</v>
      </c>
      <c r="AW50" s="112">
        <v>56270</v>
      </c>
      <c r="AX50" s="112">
        <v>197271</v>
      </c>
      <c r="AY50" s="112">
        <v>0</v>
      </c>
      <c r="AZ50" s="112">
        <v>0</v>
      </c>
      <c r="BA50" s="112">
        <v>62925.700000000004</v>
      </c>
      <c r="BB50" s="112">
        <v>205812.1</v>
      </c>
      <c r="BC50" s="112">
        <v>0</v>
      </c>
      <c r="BD50" s="112">
        <v>73471.5</v>
      </c>
      <c r="BE50" s="112">
        <v>0</v>
      </c>
      <c r="BF50" s="112">
        <v>273429</v>
      </c>
      <c r="BG50" s="112" t="s">
        <v>94</v>
      </c>
      <c r="BH50" s="112">
        <v>0</v>
      </c>
      <c r="BI50" s="112">
        <v>93909.6</v>
      </c>
      <c r="BJ50" s="112">
        <v>151231.6</v>
      </c>
      <c r="BK50" s="112">
        <v>0</v>
      </c>
      <c r="BL50" s="112">
        <v>40778</v>
      </c>
      <c r="BM50" s="112">
        <v>9849</v>
      </c>
      <c r="BN50" s="112">
        <v>286952</v>
      </c>
      <c r="BO50" s="112">
        <v>78583.5</v>
      </c>
      <c r="BP50" s="112">
        <v>58942.1</v>
      </c>
      <c r="BQ50" s="112">
        <v>0</v>
      </c>
      <c r="BR50" s="112">
        <v>3055.8</v>
      </c>
      <c r="BS50" s="112">
        <v>0</v>
      </c>
      <c r="BT50" s="112">
        <v>50919</v>
      </c>
      <c r="BU50" s="112">
        <f>0</f>
        <v>0</v>
      </c>
      <c r="BV50" s="112">
        <f>22900</f>
        <v>22900</v>
      </c>
      <c r="BW50" s="112">
        <f>0</f>
        <v>0</v>
      </c>
      <c r="BX50" s="112">
        <v>35975.1</v>
      </c>
      <c r="BY50" s="112">
        <f>0</f>
        <v>0</v>
      </c>
      <c r="BZ50" s="112">
        <v>16247.5</v>
      </c>
    </row>
    <row r="51" spans="1:78" x14ac:dyDescent="0.2">
      <c r="A51" s="170" t="s">
        <v>304</v>
      </c>
      <c r="B51" s="16" t="s">
        <v>38</v>
      </c>
      <c r="C51" s="67"/>
      <c r="D51" s="67"/>
      <c r="E51" s="67"/>
      <c r="F51" s="67"/>
      <c r="G51" s="67"/>
      <c r="H51" s="67"/>
      <c r="I51" s="67"/>
      <c r="J51" s="31"/>
      <c r="K51" s="31"/>
      <c r="L51" s="31"/>
      <c r="M51" s="31"/>
      <c r="N51" s="67">
        <f>SUM(BK51:BN51)</f>
        <v>53223</v>
      </c>
      <c r="O51" s="67">
        <f t="shared" si="26"/>
        <v>70517.5</v>
      </c>
      <c r="P51" s="67">
        <f t="shared" si="27"/>
        <v>63142</v>
      </c>
      <c r="Q51" s="26">
        <f t="shared" si="12"/>
        <v>307000.7</v>
      </c>
      <c r="R51" s="9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113"/>
      <c r="BH51" s="113"/>
      <c r="BI51" s="113"/>
      <c r="BJ51" s="113"/>
      <c r="BK51" s="113"/>
      <c r="BL51" s="113"/>
      <c r="BM51" s="113">
        <v>34279</v>
      </c>
      <c r="BN51" s="113">
        <v>18944</v>
      </c>
      <c r="BO51" s="113">
        <v>9484.7000000000007</v>
      </c>
      <c r="BP51" s="113">
        <v>0</v>
      </c>
      <c r="BQ51" s="113">
        <v>25198.6</v>
      </c>
      <c r="BR51" s="113">
        <v>35834.199999999997</v>
      </c>
      <c r="BS51" s="113">
        <v>0</v>
      </c>
      <c r="BT51" s="113">
        <v>0</v>
      </c>
      <c r="BU51" s="113">
        <f>35495</f>
        <v>35495</v>
      </c>
      <c r="BV51" s="113">
        <f>27647</f>
        <v>27647</v>
      </c>
      <c r="BW51" s="113">
        <v>35117</v>
      </c>
      <c r="BX51" s="113">
        <v>37047.5</v>
      </c>
      <c r="BY51" s="113">
        <v>136545.9</v>
      </c>
      <c r="BZ51" s="113">
        <v>98290.3</v>
      </c>
    </row>
  </sheetData>
  <phoneticPr fontId="33" type="noConversion"/>
  <hyperlinks>
    <hyperlink ref="A3" location="Contents!A1" display="Back to Contents" xr:uid="{0D9EF48F-EEBA-48BF-871E-6740388855EA}"/>
    <hyperlink ref="A22" location="Contents!A1" display="Back to Contents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S61"/>
  <sheetViews>
    <sheetView showGridLines="0" zoomScaleNormal="100" workbookViewId="0">
      <pane xSplit="1" topLeftCell="AE1" activePane="topRight" state="frozen"/>
      <selection pane="topRight" activeCell="AS18" sqref="AS18"/>
    </sheetView>
  </sheetViews>
  <sheetFormatPr defaultColWidth="9.140625" defaultRowHeight="14.25" outlineLevelRow="1" outlineLevelCol="1" x14ac:dyDescent="0.2"/>
  <cols>
    <col min="1" max="1" width="54.85546875" style="41" customWidth="1"/>
    <col min="2" max="15" width="9.28515625" style="6" bestFit="1" customWidth="1"/>
    <col min="16" max="16" width="9.140625" style="6"/>
    <col min="17" max="38" width="9.140625" style="6" customWidth="1" outlineLevel="1"/>
    <col min="39" max="42" width="9.28515625" style="6" bestFit="1" customWidth="1" outlineLevel="1"/>
    <col min="43" max="43" width="9.140625" style="41" outlineLevel="1"/>
    <col min="44" max="44" width="8.28515625" style="41" bestFit="1" customWidth="1" outlineLevel="1"/>
    <col min="45" max="45" width="9.140625" style="41" outlineLevel="1"/>
    <col min="46" max="16384" width="9.140625" style="41"/>
  </cols>
  <sheetData>
    <row r="2" spans="1:45" ht="18" x14ac:dyDescent="0.25">
      <c r="A2" s="54" t="s">
        <v>115</v>
      </c>
    </row>
    <row r="3" spans="1:45" x14ac:dyDescent="0.2">
      <c r="A3" s="35" t="s">
        <v>1</v>
      </c>
    </row>
    <row r="5" spans="1:45" x14ac:dyDescent="0.2">
      <c r="A5" s="36" t="s">
        <v>5</v>
      </c>
      <c r="B5" s="74">
        <v>2011</v>
      </c>
      <c r="C5" s="74">
        <v>2012</v>
      </c>
      <c r="D5" s="74">
        <v>2013</v>
      </c>
      <c r="E5" s="74">
        <v>2014</v>
      </c>
      <c r="F5" s="74">
        <v>2015</v>
      </c>
      <c r="G5" s="74">
        <v>2016</v>
      </c>
      <c r="H5" s="74">
        <v>2017</v>
      </c>
      <c r="I5" s="74">
        <v>2018</v>
      </c>
      <c r="J5" s="74">
        <v>2019</v>
      </c>
      <c r="K5" s="74">
        <v>2020</v>
      </c>
      <c r="L5" s="74">
        <v>2021</v>
      </c>
      <c r="M5" s="74">
        <v>2022</v>
      </c>
      <c r="N5" s="74">
        <v>2023</v>
      </c>
      <c r="O5" s="74">
        <v>2024</v>
      </c>
      <c r="P5" s="75"/>
      <c r="Q5" s="74" t="s">
        <v>116</v>
      </c>
      <c r="R5" s="74" t="s">
        <v>117</v>
      </c>
      <c r="S5" s="74" t="s">
        <v>118</v>
      </c>
      <c r="T5" s="74" t="s">
        <v>119</v>
      </c>
      <c r="U5" s="74" t="s">
        <v>120</v>
      </c>
      <c r="V5" s="74" t="s">
        <v>121</v>
      </c>
      <c r="W5" s="74" t="s">
        <v>122</v>
      </c>
      <c r="X5" s="74" t="s">
        <v>123</v>
      </c>
      <c r="Y5" s="74" t="s">
        <v>124</v>
      </c>
      <c r="Z5" s="74" t="s">
        <v>125</v>
      </c>
      <c r="AA5" s="74" t="s">
        <v>126</v>
      </c>
      <c r="AB5" s="74" t="s">
        <v>127</v>
      </c>
      <c r="AC5" s="74" t="s">
        <v>128</v>
      </c>
      <c r="AD5" s="74" t="s">
        <v>129</v>
      </c>
      <c r="AE5" s="74" t="s">
        <v>130</v>
      </c>
      <c r="AF5" s="74" t="s">
        <v>131</v>
      </c>
      <c r="AG5" s="74" t="s">
        <v>132</v>
      </c>
      <c r="AH5" s="74" t="s">
        <v>133</v>
      </c>
      <c r="AI5" s="74" t="s">
        <v>134</v>
      </c>
      <c r="AJ5" s="74" t="s">
        <v>135</v>
      </c>
      <c r="AK5" s="90" t="s">
        <v>291</v>
      </c>
      <c r="AL5" s="90" t="s">
        <v>293</v>
      </c>
      <c r="AM5" s="90" t="s">
        <v>306</v>
      </c>
      <c r="AN5" s="90" t="s">
        <v>311</v>
      </c>
      <c r="AO5" s="90" t="s">
        <v>395</v>
      </c>
      <c r="AP5" s="90" t="s">
        <v>403</v>
      </c>
      <c r="AQ5" s="90" t="s">
        <v>425</v>
      </c>
      <c r="AR5" s="90" t="s">
        <v>429</v>
      </c>
      <c r="AS5" s="90" t="s">
        <v>482</v>
      </c>
    </row>
    <row r="6" spans="1:45" hidden="1" outlineLevel="1" x14ac:dyDescent="0.2">
      <c r="A6" s="6" t="s">
        <v>136</v>
      </c>
      <c r="B6" s="34">
        <f t="shared" ref="B6:B44" si="0">SUM(Q6:R6)</f>
        <v>19359</v>
      </c>
      <c r="C6" s="34">
        <f t="shared" ref="C6:C44" si="1">SUM(S6:T6)</f>
        <v>19424</v>
      </c>
      <c r="D6" s="34">
        <f t="shared" ref="D6:D44" si="2">SUM(U6:V6)</f>
        <v>29548</v>
      </c>
      <c r="E6" s="34">
        <f t="shared" ref="E6:E44" si="3">SUM(W6:X6)</f>
        <v>37560</v>
      </c>
      <c r="F6" s="34">
        <f t="shared" ref="F6:F44" si="4">SUM(Y6:Z6)</f>
        <v>32474</v>
      </c>
      <c r="G6" s="34">
        <f t="shared" ref="G6:G44" si="5">SUM(AA6:AB6)</f>
        <v>33499</v>
      </c>
      <c r="H6" s="34">
        <f t="shared" ref="H6:H44" si="6">SUM(AC6:AD6)</f>
        <v>54964</v>
      </c>
      <c r="I6" s="34">
        <f t="shared" ref="I6:I44" si="7">SUM(AE6:AF6)</f>
        <v>58072</v>
      </c>
      <c r="J6" s="34">
        <f t="shared" ref="J6:J44" si="8">SUM(AG6:AH6)</f>
        <v>62609</v>
      </c>
      <c r="K6" s="34">
        <f>SUM(AI6:AJ6)</f>
        <v>51801</v>
      </c>
      <c r="L6" s="34">
        <f>SUM(AK6:AL6)</f>
        <v>53384</v>
      </c>
      <c r="M6" s="34"/>
      <c r="N6" s="34"/>
      <c r="O6" s="34"/>
      <c r="Q6" s="34">
        <v>8147</v>
      </c>
      <c r="R6" s="34">
        <v>11212</v>
      </c>
      <c r="S6" s="34">
        <v>8329</v>
      </c>
      <c r="T6" s="34">
        <v>11095</v>
      </c>
      <c r="U6" s="34">
        <v>12249</v>
      </c>
      <c r="V6" s="34">
        <v>17299</v>
      </c>
      <c r="W6" s="34">
        <v>8873</v>
      </c>
      <c r="X6" s="34">
        <v>28687</v>
      </c>
      <c r="Y6" s="34">
        <v>13857</v>
      </c>
      <c r="Z6" s="34">
        <v>18617</v>
      </c>
      <c r="AA6" s="34">
        <v>11828</v>
      </c>
      <c r="AB6" s="34">
        <v>21671</v>
      </c>
      <c r="AC6" s="34">
        <v>21941</v>
      </c>
      <c r="AD6" s="34">
        <v>33023</v>
      </c>
      <c r="AE6" s="34">
        <v>17762</v>
      </c>
      <c r="AF6" s="34">
        <v>40310</v>
      </c>
      <c r="AG6" s="34">
        <v>30229</v>
      </c>
      <c r="AH6" s="34">
        <v>32380</v>
      </c>
      <c r="AI6" s="34">
        <v>20873</v>
      </c>
      <c r="AJ6" s="34">
        <v>30928</v>
      </c>
      <c r="AK6" s="34">
        <v>23120</v>
      </c>
      <c r="AL6" s="34">
        <v>30264</v>
      </c>
      <c r="AM6" s="34"/>
      <c r="AN6" s="34"/>
      <c r="AO6" s="34"/>
      <c r="AP6" s="34"/>
      <c r="AQ6" s="34"/>
      <c r="AR6" s="34"/>
      <c r="AS6" s="34"/>
    </row>
    <row r="7" spans="1:45" hidden="1" outlineLevel="1" x14ac:dyDescent="0.2">
      <c r="A7" s="6" t="s">
        <v>137</v>
      </c>
      <c r="B7" s="34">
        <f t="shared" si="0"/>
        <v>0</v>
      </c>
      <c r="C7" s="34">
        <f t="shared" si="1"/>
        <v>0</v>
      </c>
      <c r="D7" s="34">
        <f t="shared" si="2"/>
        <v>0</v>
      </c>
      <c r="E7" s="34">
        <f t="shared" si="3"/>
        <v>0</v>
      </c>
      <c r="F7" s="34">
        <f t="shared" si="4"/>
        <v>0</v>
      </c>
      <c r="G7" s="34">
        <f t="shared" si="5"/>
        <v>0</v>
      </c>
      <c r="H7" s="34">
        <f t="shared" si="6"/>
        <v>0</v>
      </c>
      <c r="I7" s="34">
        <f t="shared" si="7"/>
        <v>0</v>
      </c>
      <c r="J7" s="34">
        <f t="shared" si="8"/>
        <v>10875</v>
      </c>
      <c r="K7" s="34">
        <f t="shared" ref="K7:K44" si="9">SUM(AI7:AJ7)</f>
        <v>18675</v>
      </c>
      <c r="L7" s="34">
        <f t="shared" ref="L7:L44" si="10">SUM(AK7:AL7)</f>
        <v>21885</v>
      </c>
      <c r="M7" s="34"/>
      <c r="N7" s="34"/>
      <c r="O7" s="34"/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3686</v>
      </c>
      <c r="AH7" s="34">
        <v>7189</v>
      </c>
      <c r="AI7" s="34">
        <v>5975</v>
      </c>
      <c r="AJ7" s="34">
        <v>12700</v>
      </c>
      <c r="AK7" s="34">
        <v>10022</v>
      </c>
      <c r="AL7" s="34">
        <v>11863</v>
      </c>
      <c r="AM7" s="34"/>
      <c r="AN7" s="34"/>
      <c r="AO7" s="34"/>
      <c r="AP7" s="34"/>
      <c r="AQ7" s="34"/>
      <c r="AR7" s="34"/>
      <c r="AS7" s="34"/>
    </row>
    <row r="8" spans="1:45" hidden="1" outlineLevel="1" x14ac:dyDescent="0.2">
      <c r="A8" s="6" t="s">
        <v>138</v>
      </c>
      <c r="B8" s="34">
        <f t="shared" si="0"/>
        <v>3382</v>
      </c>
      <c r="C8" s="34">
        <f t="shared" si="1"/>
        <v>7470</v>
      </c>
      <c r="D8" s="34">
        <f t="shared" si="2"/>
        <v>10373</v>
      </c>
      <c r="E8" s="34">
        <f t="shared" si="3"/>
        <v>13921</v>
      </c>
      <c r="F8" s="34">
        <f t="shared" si="4"/>
        <v>9930</v>
      </c>
      <c r="G8" s="34">
        <f t="shared" si="5"/>
        <v>15523</v>
      </c>
      <c r="H8" s="34">
        <f t="shared" si="6"/>
        <v>15681</v>
      </c>
      <c r="I8" s="34">
        <f t="shared" si="7"/>
        <v>14255</v>
      </c>
      <c r="J8" s="34">
        <f t="shared" si="8"/>
        <v>10846</v>
      </c>
      <c r="K8" s="34">
        <f t="shared" si="9"/>
        <v>8179</v>
      </c>
      <c r="L8" s="34">
        <f t="shared" si="10"/>
        <v>11869</v>
      </c>
      <c r="M8" s="34"/>
      <c r="N8" s="34"/>
      <c r="O8" s="34"/>
      <c r="Q8" s="34">
        <v>1265</v>
      </c>
      <c r="R8" s="34">
        <v>2117</v>
      </c>
      <c r="S8" s="34">
        <v>3828</v>
      </c>
      <c r="T8" s="34">
        <v>3642</v>
      </c>
      <c r="U8" s="34">
        <v>4386</v>
      </c>
      <c r="V8" s="34">
        <v>5987</v>
      </c>
      <c r="W8" s="34">
        <v>5666</v>
      </c>
      <c r="X8" s="34">
        <v>8255</v>
      </c>
      <c r="Y8" s="34">
        <v>4291</v>
      </c>
      <c r="Z8" s="34">
        <v>5639</v>
      </c>
      <c r="AA8" s="34">
        <v>7914</v>
      </c>
      <c r="AB8" s="34">
        <v>7609</v>
      </c>
      <c r="AC8" s="34">
        <v>7075</v>
      </c>
      <c r="AD8" s="34">
        <v>8606</v>
      </c>
      <c r="AE8" s="34">
        <v>6937</v>
      </c>
      <c r="AF8" s="34">
        <v>7318</v>
      </c>
      <c r="AG8" s="34">
        <v>5647</v>
      </c>
      <c r="AH8" s="34">
        <v>5199</v>
      </c>
      <c r="AI8" s="34">
        <v>4020</v>
      </c>
      <c r="AJ8" s="34">
        <v>4159</v>
      </c>
      <c r="AK8" s="34">
        <v>6742</v>
      </c>
      <c r="AL8" s="34">
        <v>5127</v>
      </c>
      <c r="AM8" s="34"/>
      <c r="AN8" s="34"/>
      <c r="AO8" s="34"/>
      <c r="AP8" s="34"/>
      <c r="AQ8" s="34"/>
      <c r="AR8" s="34"/>
      <c r="AS8" s="34"/>
    </row>
    <row r="9" spans="1:45" collapsed="1" x14ac:dyDescent="0.2">
      <c r="A9" s="37" t="s">
        <v>139</v>
      </c>
      <c r="B9" s="78">
        <f t="shared" si="0"/>
        <v>22741</v>
      </c>
      <c r="C9" s="78">
        <f t="shared" si="1"/>
        <v>26894</v>
      </c>
      <c r="D9" s="78">
        <f t="shared" si="2"/>
        <v>39921</v>
      </c>
      <c r="E9" s="78">
        <f t="shared" si="3"/>
        <v>51481</v>
      </c>
      <c r="F9" s="78">
        <f t="shared" si="4"/>
        <v>42404</v>
      </c>
      <c r="G9" s="78">
        <f t="shared" si="5"/>
        <v>49022</v>
      </c>
      <c r="H9" s="78">
        <f t="shared" si="6"/>
        <v>70645</v>
      </c>
      <c r="I9" s="78">
        <f t="shared" si="7"/>
        <v>72327</v>
      </c>
      <c r="J9" s="78">
        <f t="shared" si="8"/>
        <v>84330</v>
      </c>
      <c r="K9" s="78">
        <f t="shared" si="9"/>
        <v>78655</v>
      </c>
      <c r="L9" s="78">
        <f t="shared" si="10"/>
        <v>87138</v>
      </c>
      <c r="M9" s="78">
        <f>SUM(AM9:AN9)</f>
        <v>80556</v>
      </c>
      <c r="N9" s="78">
        <f>90652</f>
        <v>90652</v>
      </c>
      <c r="O9" s="78">
        <f>130946</f>
        <v>130946</v>
      </c>
      <c r="Q9" s="78">
        <v>9412</v>
      </c>
      <c r="R9" s="78">
        <v>13329</v>
      </c>
      <c r="S9" s="78">
        <v>12157</v>
      </c>
      <c r="T9" s="78">
        <v>14737</v>
      </c>
      <c r="U9" s="78">
        <v>16635</v>
      </c>
      <c r="V9" s="78">
        <v>23286</v>
      </c>
      <c r="W9" s="78">
        <v>14539</v>
      </c>
      <c r="X9" s="78">
        <v>36942</v>
      </c>
      <c r="Y9" s="78">
        <v>18148</v>
      </c>
      <c r="Z9" s="78">
        <v>24256</v>
      </c>
      <c r="AA9" s="78">
        <v>19742</v>
      </c>
      <c r="AB9" s="78">
        <v>29280</v>
      </c>
      <c r="AC9" s="78">
        <v>29016</v>
      </c>
      <c r="AD9" s="78">
        <v>41629</v>
      </c>
      <c r="AE9" s="78">
        <v>24699</v>
      </c>
      <c r="AF9" s="78">
        <v>47628</v>
      </c>
      <c r="AG9" s="78">
        <v>39562</v>
      </c>
      <c r="AH9" s="78">
        <v>44768</v>
      </c>
      <c r="AI9" s="78">
        <v>30868</v>
      </c>
      <c r="AJ9" s="78">
        <v>47787</v>
      </c>
      <c r="AK9" s="78">
        <v>39884</v>
      </c>
      <c r="AL9" s="78">
        <v>47254</v>
      </c>
      <c r="AM9" s="78">
        <v>32740</v>
      </c>
      <c r="AN9" s="78">
        <v>47816</v>
      </c>
      <c r="AO9" s="78">
        <f>33499</f>
        <v>33499</v>
      </c>
      <c r="AP9" s="78">
        <f>N9-AO9</f>
        <v>57153</v>
      </c>
      <c r="AQ9" s="78">
        <f>57360</f>
        <v>57360</v>
      </c>
      <c r="AR9" s="78">
        <f>O9-AQ9</f>
        <v>73586</v>
      </c>
      <c r="AS9" s="78">
        <f>77413</f>
        <v>77413</v>
      </c>
    </row>
    <row r="10" spans="1:45" hidden="1" outlineLevel="1" x14ac:dyDescent="0.2">
      <c r="A10" s="6" t="s">
        <v>140</v>
      </c>
      <c r="B10" s="34">
        <f t="shared" si="0"/>
        <v>0</v>
      </c>
      <c r="C10" s="34">
        <f t="shared" si="1"/>
        <v>0</v>
      </c>
      <c r="D10" s="34">
        <f t="shared" si="2"/>
        <v>0</v>
      </c>
      <c r="E10" s="34">
        <f t="shared" si="3"/>
        <v>0</v>
      </c>
      <c r="F10" s="34">
        <f t="shared" si="4"/>
        <v>0</v>
      </c>
      <c r="G10" s="34">
        <f t="shared" si="5"/>
        <v>0</v>
      </c>
      <c r="H10" s="34">
        <f t="shared" si="6"/>
        <v>0</v>
      </c>
      <c r="I10" s="34">
        <f t="shared" si="7"/>
        <v>-42013</v>
      </c>
      <c r="J10" s="34">
        <f t="shared" si="8"/>
        <v>-44150</v>
      </c>
      <c r="K10" s="34">
        <f t="shared" si="9"/>
        <v>-33744</v>
      </c>
      <c r="L10" s="34">
        <f t="shared" si="10"/>
        <v>-31676</v>
      </c>
      <c r="M10" s="34">
        <f t="shared" ref="M10:N44" si="11">SUM(AM10:AN10)</f>
        <v>0</v>
      </c>
      <c r="N10" s="34">
        <f t="shared" si="11"/>
        <v>0</v>
      </c>
      <c r="O10" s="34"/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-42013</v>
      </c>
      <c r="AG10" s="34">
        <v>-21497</v>
      </c>
      <c r="AH10" s="34">
        <v>-22653</v>
      </c>
      <c r="AI10" s="34">
        <v>-14155</v>
      </c>
      <c r="AJ10" s="34">
        <v>-19589</v>
      </c>
      <c r="AK10" s="34">
        <v>-14470</v>
      </c>
      <c r="AL10" s="78">
        <v>-17206</v>
      </c>
      <c r="AM10" s="78"/>
      <c r="AN10" s="78"/>
      <c r="AO10" s="78"/>
      <c r="AP10" s="78">
        <f t="shared" ref="AP10:AP44" si="12">N10-AO10</f>
        <v>0</v>
      </c>
      <c r="AQ10" s="78"/>
      <c r="AR10" s="78">
        <f t="shared" ref="AR10:AR13" si="13">O10-AQ10</f>
        <v>0</v>
      </c>
      <c r="AS10" s="78"/>
    </row>
    <row r="11" spans="1:45" hidden="1" outlineLevel="1" x14ac:dyDescent="0.2">
      <c r="A11" s="6" t="s">
        <v>141</v>
      </c>
      <c r="B11" s="34">
        <f t="shared" si="0"/>
        <v>0</v>
      </c>
      <c r="C11" s="34">
        <f t="shared" si="1"/>
        <v>0</v>
      </c>
      <c r="D11" s="34">
        <f t="shared" si="2"/>
        <v>0</v>
      </c>
      <c r="E11" s="34">
        <f t="shared" si="3"/>
        <v>0</v>
      </c>
      <c r="F11" s="34">
        <f t="shared" si="4"/>
        <v>0</v>
      </c>
      <c r="G11" s="34">
        <f t="shared" si="5"/>
        <v>0</v>
      </c>
      <c r="H11" s="34">
        <f t="shared" si="6"/>
        <v>0</v>
      </c>
      <c r="I11" s="34">
        <f t="shared" si="7"/>
        <v>0</v>
      </c>
      <c r="J11" s="34">
        <f t="shared" si="8"/>
        <v>-9592</v>
      </c>
      <c r="K11" s="34">
        <f t="shared" si="9"/>
        <v>-15605</v>
      </c>
      <c r="L11" s="34">
        <f t="shared" si="10"/>
        <v>-17904</v>
      </c>
      <c r="M11" s="34">
        <f t="shared" si="11"/>
        <v>0</v>
      </c>
      <c r="N11" s="34">
        <f t="shared" si="11"/>
        <v>0</v>
      </c>
      <c r="O11" s="34"/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-3440</v>
      </c>
      <c r="AH11" s="34">
        <v>-6152</v>
      </c>
      <c r="AI11" s="34">
        <v>-5457</v>
      </c>
      <c r="AJ11" s="34">
        <v>-10148</v>
      </c>
      <c r="AK11" s="34">
        <v>-7583</v>
      </c>
      <c r="AL11" s="78">
        <v>-10321</v>
      </c>
      <c r="AM11" s="78"/>
      <c r="AN11" s="78"/>
      <c r="AO11" s="78"/>
      <c r="AP11" s="78">
        <f t="shared" si="12"/>
        <v>0</v>
      </c>
      <c r="AQ11" s="78"/>
      <c r="AR11" s="78">
        <f t="shared" si="13"/>
        <v>0</v>
      </c>
      <c r="AS11" s="78"/>
    </row>
    <row r="12" spans="1:45" hidden="1" outlineLevel="1" x14ac:dyDescent="0.2">
      <c r="A12" s="6" t="s">
        <v>142</v>
      </c>
      <c r="B12" s="34">
        <f t="shared" si="0"/>
        <v>0</v>
      </c>
      <c r="C12" s="34">
        <f t="shared" si="1"/>
        <v>0</v>
      </c>
      <c r="D12" s="34">
        <f t="shared" si="2"/>
        <v>0</v>
      </c>
      <c r="E12" s="34">
        <f t="shared" si="3"/>
        <v>0</v>
      </c>
      <c r="F12" s="34">
        <f t="shared" si="4"/>
        <v>0</v>
      </c>
      <c r="G12" s="34">
        <f t="shared" si="5"/>
        <v>0</v>
      </c>
      <c r="H12" s="34">
        <f t="shared" si="6"/>
        <v>0</v>
      </c>
      <c r="I12" s="34">
        <f t="shared" si="7"/>
        <v>-13259</v>
      </c>
      <c r="J12" s="34">
        <f t="shared" si="8"/>
        <v>-10531</v>
      </c>
      <c r="K12" s="34">
        <f t="shared" si="9"/>
        <v>-7391</v>
      </c>
      <c r="L12" s="34">
        <f t="shared" si="10"/>
        <v>-9776</v>
      </c>
      <c r="M12" s="34">
        <f t="shared" si="11"/>
        <v>0</v>
      </c>
      <c r="N12" s="34">
        <f t="shared" si="11"/>
        <v>0</v>
      </c>
      <c r="O12" s="34"/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-13259</v>
      </c>
      <c r="AG12" s="34">
        <v>-5526</v>
      </c>
      <c r="AH12" s="34">
        <v>-5005</v>
      </c>
      <c r="AI12" s="34">
        <v>-3738</v>
      </c>
      <c r="AJ12" s="34">
        <v>-3653</v>
      </c>
      <c r="AK12" s="34">
        <v>-4033</v>
      </c>
      <c r="AL12" s="78">
        <v>-5743</v>
      </c>
      <c r="AM12" s="78"/>
      <c r="AN12" s="78"/>
      <c r="AO12" s="78"/>
      <c r="AP12" s="78">
        <f t="shared" si="12"/>
        <v>0</v>
      </c>
      <c r="AQ12" s="78"/>
      <c r="AR12" s="78">
        <f t="shared" si="13"/>
        <v>0</v>
      </c>
      <c r="AS12" s="78"/>
    </row>
    <row r="13" spans="1:45" collapsed="1" x14ac:dyDescent="0.2">
      <c r="A13" s="37" t="s">
        <v>143</v>
      </c>
      <c r="B13" s="78">
        <f t="shared" si="0"/>
        <v>-11888</v>
      </c>
      <c r="C13" s="78">
        <f t="shared" si="1"/>
        <v>-17494</v>
      </c>
      <c r="D13" s="78">
        <f t="shared" si="2"/>
        <v>-27553</v>
      </c>
      <c r="E13" s="78">
        <f t="shared" si="3"/>
        <v>-35685</v>
      </c>
      <c r="F13" s="78">
        <f t="shared" si="4"/>
        <v>-29405</v>
      </c>
      <c r="G13" s="78">
        <f t="shared" si="5"/>
        <v>-36813</v>
      </c>
      <c r="H13" s="78">
        <f t="shared" si="6"/>
        <v>-52644</v>
      </c>
      <c r="I13" s="78">
        <f t="shared" si="7"/>
        <v>-55272</v>
      </c>
      <c r="J13" s="78">
        <f t="shared" si="8"/>
        <v>-64273</v>
      </c>
      <c r="K13" s="78">
        <f t="shared" si="9"/>
        <v>-56740</v>
      </c>
      <c r="L13" s="78">
        <f t="shared" si="10"/>
        <v>-59356</v>
      </c>
      <c r="M13" s="78">
        <f t="shared" si="11"/>
        <v>-52353</v>
      </c>
      <c r="N13" s="78">
        <f>-60681</f>
        <v>-60681</v>
      </c>
      <c r="O13" s="78">
        <f>-89568</f>
        <v>-89568</v>
      </c>
      <c r="Q13" s="78">
        <v>-4753</v>
      </c>
      <c r="R13" s="78">
        <v>-7135</v>
      </c>
      <c r="S13" s="78">
        <v>-7797</v>
      </c>
      <c r="T13" s="78">
        <v>-9697</v>
      </c>
      <c r="U13" s="78">
        <v>-11064</v>
      </c>
      <c r="V13" s="78">
        <v>-16489</v>
      </c>
      <c r="W13" s="78">
        <v>-10759</v>
      </c>
      <c r="X13" s="78">
        <v>-24926</v>
      </c>
      <c r="Y13" s="78">
        <v>-12584</v>
      </c>
      <c r="Z13" s="78">
        <v>-16821</v>
      </c>
      <c r="AA13" s="78">
        <v>-15685</v>
      </c>
      <c r="AB13" s="78">
        <v>-21128</v>
      </c>
      <c r="AC13" s="78">
        <v>-22908</v>
      </c>
      <c r="AD13" s="78">
        <v>-29736</v>
      </c>
      <c r="AE13" s="78">
        <v>-19126</v>
      </c>
      <c r="AF13" s="78">
        <v>-36146</v>
      </c>
      <c r="AG13" s="78">
        <v>-30463</v>
      </c>
      <c r="AH13" s="78">
        <v>-33810</v>
      </c>
      <c r="AI13" s="78">
        <v>-23350</v>
      </c>
      <c r="AJ13" s="78">
        <v>-33390</v>
      </c>
      <c r="AK13" s="78">
        <v>-26086</v>
      </c>
      <c r="AL13" s="78">
        <v>-33270</v>
      </c>
      <c r="AM13" s="78">
        <v>-22982</v>
      </c>
      <c r="AN13" s="78">
        <v>-29371</v>
      </c>
      <c r="AO13" s="78">
        <v>-22253</v>
      </c>
      <c r="AP13" s="78">
        <f t="shared" si="12"/>
        <v>-38428</v>
      </c>
      <c r="AQ13" s="78">
        <f>-37792</f>
        <v>-37792</v>
      </c>
      <c r="AR13" s="78">
        <f t="shared" si="13"/>
        <v>-51776</v>
      </c>
      <c r="AS13" s="78">
        <f>-56526</f>
        <v>-56526</v>
      </c>
    </row>
    <row r="14" spans="1:45" hidden="1" outlineLevel="1" x14ac:dyDescent="0.2">
      <c r="A14" s="6" t="s">
        <v>144</v>
      </c>
      <c r="B14" s="34">
        <f t="shared" si="0"/>
        <v>0</v>
      </c>
      <c r="C14" s="34">
        <f t="shared" si="1"/>
        <v>0</v>
      </c>
      <c r="D14" s="34">
        <f t="shared" si="2"/>
        <v>0</v>
      </c>
      <c r="E14" s="34">
        <f t="shared" si="3"/>
        <v>0</v>
      </c>
      <c r="F14" s="34">
        <f t="shared" si="4"/>
        <v>0</v>
      </c>
      <c r="G14" s="34">
        <f t="shared" si="5"/>
        <v>0</v>
      </c>
      <c r="H14" s="34">
        <f t="shared" si="6"/>
        <v>0</v>
      </c>
      <c r="I14" s="34">
        <f t="shared" si="7"/>
        <v>16059</v>
      </c>
      <c r="J14" s="34">
        <f t="shared" si="8"/>
        <v>18459</v>
      </c>
      <c r="K14" s="34">
        <f t="shared" si="9"/>
        <v>18057</v>
      </c>
      <c r="L14" s="34">
        <f t="shared" si="10"/>
        <v>21708</v>
      </c>
      <c r="M14" s="34">
        <f t="shared" si="11"/>
        <v>0</v>
      </c>
      <c r="N14" s="34">
        <f t="shared" si="11"/>
        <v>0</v>
      </c>
      <c r="O14" s="34"/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16059</v>
      </c>
      <c r="AG14" s="34">
        <v>8732</v>
      </c>
      <c r="AH14" s="34">
        <v>9727</v>
      </c>
      <c r="AI14" s="34">
        <v>6718</v>
      </c>
      <c r="AJ14" s="34">
        <v>11339</v>
      </c>
      <c r="AK14" s="34">
        <v>8650</v>
      </c>
      <c r="AL14" s="34">
        <v>13058</v>
      </c>
      <c r="AM14" s="34"/>
      <c r="AN14" s="34"/>
      <c r="AO14" s="34"/>
      <c r="AP14" s="34">
        <f t="shared" si="12"/>
        <v>0</v>
      </c>
      <c r="AQ14" s="34"/>
      <c r="AR14" s="34"/>
      <c r="AS14" s="34"/>
    </row>
    <row r="15" spans="1:45" hidden="1" outlineLevel="1" x14ac:dyDescent="0.2">
      <c r="A15" s="6" t="s">
        <v>145</v>
      </c>
      <c r="B15" s="34">
        <f t="shared" si="0"/>
        <v>0</v>
      </c>
      <c r="C15" s="34">
        <f t="shared" si="1"/>
        <v>0</v>
      </c>
      <c r="D15" s="34">
        <f t="shared" si="2"/>
        <v>0</v>
      </c>
      <c r="E15" s="34">
        <f t="shared" si="3"/>
        <v>0</v>
      </c>
      <c r="F15" s="34">
        <f t="shared" si="4"/>
        <v>0</v>
      </c>
      <c r="G15" s="34">
        <f t="shared" si="5"/>
        <v>0</v>
      </c>
      <c r="H15" s="34">
        <f t="shared" si="6"/>
        <v>0</v>
      </c>
      <c r="I15" s="34">
        <f t="shared" si="7"/>
        <v>0</v>
      </c>
      <c r="J15" s="34">
        <f t="shared" si="8"/>
        <v>1283</v>
      </c>
      <c r="K15" s="34">
        <f t="shared" si="9"/>
        <v>3070</v>
      </c>
      <c r="L15" s="34">
        <f t="shared" si="10"/>
        <v>3981</v>
      </c>
      <c r="M15" s="34">
        <f t="shared" si="11"/>
        <v>0</v>
      </c>
      <c r="N15" s="34">
        <f t="shared" si="11"/>
        <v>0</v>
      </c>
      <c r="O15" s="34"/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246</v>
      </c>
      <c r="AH15" s="34">
        <v>1037</v>
      </c>
      <c r="AI15" s="34">
        <v>518</v>
      </c>
      <c r="AJ15" s="34">
        <v>2552</v>
      </c>
      <c r="AK15" s="34">
        <v>2439</v>
      </c>
      <c r="AL15" s="34">
        <v>1542</v>
      </c>
      <c r="AM15" s="34"/>
      <c r="AN15" s="34"/>
      <c r="AO15" s="34"/>
      <c r="AP15" s="34">
        <f t="shared" si="12"/>
        <v>0</v>
      </c>
      <c r="AQ15" s="34"/>
      <c r="AR15" s="34"/>
      <c r="AS15" s="34"/>
    </row>
    <row r="16" spans="1:45" hidden="1" outlineLevel="1" x14ac:dyDescent="0.2">
      <c r="A16" s="6" t="s">
        <v>146</v>
      </c>
      <c r="B16" s="34">
        <f t="shared" si="0"/>
        <v>0</v>
      </c>
      <c r="C16" s="34">
        <f t="shared" si="1"/>
        <v>0</v>
      </c>
      <c r="D16" s="34">
        <f t="shared" si="2"/>
        <v>0</v>
      </c>
      <c r="E16" s="34">
        <f t="shared" si="3"/>
        <v>0</v>
      </c>
      <c r="F16" s="34">
        <f t="shared" si="4"/>
        <v>0</v>
      </c>
      <c r="G16" s="34">
        <f t="shared" si="5"/>
        <v>0</v>
      </c>
      <c r="H16" s="34">
        <f t="shared" si="6"/>
        <v>0</v>
      </c>
      <c r="I16" s="34">
        <f t="shared" si="7"/>
        <v>996</v>
      </c>
      <c r="J16" s="34">
        <f t="shared" si="8"/>
        <v>315</v>
      </c>
      <c r="K16" s="34">
        <f t="shared" si="9"/>
        <v>788</v>
      </c>
      <c r="L16" s="34">
        <f t="shared" si="10"/>
        <v>2093</v>
      </c>
      <c r="M16" s="34">
        <f t="shared" si="11"/>
        <v>0</v>
      </c>
      <c r="N16" s="34">
        <f t="shared" si="11"/>
        <v>0</v>
      </c>
      <c r="O16" s="34"/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996</v>
      </c>
      <c r="AG16" s="34">
        <v>121</v>
      </c>
      <c r="AH16" s="34">
        <v>194</v>
      </c>
      <c r="AI16" s="34">
        <v>282</v>
      </c>
      <c r="AJ16" s="34">
        <v>506</v>
      </c>
      <c r="AK16" s="34">
        <v>2709</v>
      </c>
      <c r="AL16" s="34">
        <v>-616</v>
      </c>
      <c r="AM16" s="34"/>
      <c r="AN16" s="34"/>
      <c r="AO16" s="34"/>
      <c r="AP16" s="34">
        <f t="shared" si="12"/>
        <v>0</v>
      </c>
      <c r="AQ16" s="34"/>
      <c r="AR16" s="34"/>
      <c r="AS16" s="34"/>
    </row>
    <row r="17" spans="1:45" collapsed="1" x14ac:dyDescent="0.2">
      <c r="A17" s="38" t="s">
        <v>147</v>
      </c>
      <c r="B17" s="79">
        <f t="shared" si="0"/>
        <v>10853</v>
      </c>
      <c r="C17" s="79">
        <f t="shared" si="1"/>
        <v>9400</v>
      </c>
      <c r="D17" s="79">
        <f t="shared" si="2"/>
        <v>12368</v>
      </c>
      <c r="E17" s="79">
        <f t="shared" si="3"/>
        <v>15796</v>
      </c>
      <c r="F17" s="79">
        <f t="shared" si="4"/>
        <v>12999</v>
      </c>
      <c r="G17" s="79">
        <f t="shared" si="5"/>
        <v>12209</v>
      </c>
      <c r="H17" s="79">
        <f t="shared" si="6"/>
        <v>18001</v>
      </c>
      <c r="I17" s="79">
        <f t="shared" si="7"/>
        <v>17055</v>
      </c>
      <c r="J17" s="79">
        <f t="shared" si="8"/>
        <v>20057</v>
      </c>
      <c r="K17" s="79">
        <f t="shared" si="9"/>
        <v>21915</v>
      </c>
      <c r="L17" s="79">
        <f t="shared" si="10"/>
        <v>27782</v>
      </c>
      <c r="M17" s="79">
        <f t="shared" si="11"/>
        <v>28203</v>
      </c>
      <c r="N17" s="79">
        <v>29971</v>
      </c>
      <c r="O17" s="79">
        <f>41378</f>
        <v>41378</v>
      </c>
      <c r="P17" s="32"/>
      <c r="Q17" s="79">
        <v>4659</v>
      </c>
      <c r="R17" s="79">
        <v>6194</v>
      </c>
      <c r="S17" s="79">
        <v>4360</v>
      </c>
      <c r="T17" s="79">
        <v>5040</v>
      </c>
      <c r="U17" s="79">
        <v>5571</v>
      </c>
      <c r="V17" s="79">
        <v>6797</v>
      </c>
      <c r="W17" s="79">
        <v>3780</v>
      </c>
      <c r="X17" s="79">
        <v>12016</v>
      </c>
      <c r="Y17" s="79">
        <v>5564</v>
      </c>
      <c r="Z17" s="79">
        <v>7435</v>
      </c>
      <c r="AA17" s="79">
        <v>4057</v>
      </c>
      <c r="AB17" s="79">
        <v>8152</v>
      </c>
      <c r="AC17" s="79">
        <v>6108</v>
      </c>
      <c r="AD17" s="79">
        <v>11893</v>
      </c>
      <c r="AE17" s="79">
        <v>5573</v>
      </c>
      <c r="AF17" s="79">
        <v>11482</v>
      </c>
      <c r="AG17" s="79">
        <v>9099</v>
      </c>
      <c r="AH17" s="79">
        <v>10958</v>
      </c>
      <c r="AI17" s="79">
        <v>7518</v>
      </c>
      <c r="AJ17" s="79">
        <v>14397</v>
      </c>
      <c r="AK17" s="80">
        <v>13798</v>
      </c>
      <c r="AL17" s="80">
        <v>13984</v>
      </c>
      <c r="AM17" s="80">
        <v>9758</v>
      </c>
      <c r="AN17" s="80">
        <v>18445</v>
      </c>
      <c r="AO17" s="80">
        <f>AO9+AO13</f>
        <v>11246</v>
      </c>
      <c r="AP17" s="80">
        <f t="shared" si="12"/>
        <v>18725</v>
      </c>
      <c r="AQ17" s="80">
        <f>AQ9+AQ13</f>
        <v>19568</v>
      </c>
      <c r="AR17" s="80">
        <f t="shared" ref="AR17" si="14">O17-AQ17</f>
        <v>21810</v>
      </c>
      <c r="AS17" s="80">
        <f>AS9+AS13</f>
        <v>20887</v>
      </c>
    </row>
    <row r="18" spans="1:45" ht="15" x14ac:dyDescent="0.25">
      <c r="A18" s="39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L18" s="34"/>
      <c r="AM18" s="34"/>
      <c r="AN18" s="34"/>
      <c r="AO18" s="34"/>
      <c r="AP18" s="34">
        <f t="shared" si="12"/>
        <v>0</v>
      </c>
      <c r="AQ18" s="34"/>
      <c r="AR18" s="34"/>
      <c r="AS18" s="34"/>
    </row>
    <row r="19" spans="1:45" x14ac:dyDescent="0.2">
      <c r="A19" s="6" t="s">
        <v>148</v>
      </c>
      <c r="B19" s="34">
        <f t="shared" si="0"/>
        <v>-2328</v>
      </c>
      <c r="C19" s="34">
        <f t="shared" si="1"/>
        <v>-2324</v>
      </c>
      <c r="D19" s="34">
        <f t="shared" si="2"/>
        <v>-3157</v>
      </c>
      <c r="E19" s="34">
        <f t="shared" si="3"/>
        <v>-4178</v>
      </c>
      <c r="F19" s="34">
        <f t="shared" si="4"/>
        <v>-4348</v>
      </c>
      <c r="G19" s="34">
        <f t="shared" si="5"/>
        <v>-4454</v>
      </c>
      <c r="H19" s="34">
        <f t="shared" si="6"/>
        <v>-5052</v>
      </c>
      <c r="I19" s="34">
        <f t="shared" si="7"/>
        <v>-6922</v>
      </c>
      <c r="J19" s="34">
        <f t="shared" si="8"/>
        <v>-7280</v>
      </c>
      <c r="K19" s="34">
        <f t="shared" si="9"/>
        <v>-5235</v>
      </c>
      <c r="L19" s="34">
        <f t="shared" si="10"/>
        <v>-5784</v>
      </c>
      <c r="M19" s="34">
        <f t="shared" si="11"/>
        <v>-7259</v>
      </c>
      <c r="N19" s="34">
        <v>-7475</v>
      </c>
      <c r="O19" s="34">
        <f>-8455</f>
        <v>-8455</v>
      </c>
      <c r="Q19" s="34">
        <v>-1020</v>
      </c>
      <c r="R19" s="34">
        <v>-1308</v>
      </c>
      <c r="S19" s="34">
        <v>-1195</v>
      </c>
      <c r="T19" s="34">
        <v>-1129</v>
      </c>
      <c r="U19" s="34">
        <v>-1387</v>
      </c>
      <c r="V19" s="34">
        <v>-1770</v>
      </c>
      <c r="W19" s="34">
        <v>-1957</v>
      </c>
      <c r="X19" s="34">
        <v>-2221</v>
      </c>
      <c r="Y19" s="34">
        <v>-2021</v>
      </c>
      <c r="Z19" s="34">
        <v>-2327</v>
      </c>
      <c r="AA19" s="34">
        <v>-1958</v>
      </c>
      <c r="AB19" s="34">
        <v>-2496</v>
      </c>
      <c r="AC19" s="34">
        <v>-1990</v>
      </c>
      <c r="AD19" s="34">
        <v>-3062</v>
      </c>
      <c r="AE19" s="34">
        <v>-3456</v>
      </c>
      <c r="AF19" s="34">
        <v>-3466</v>
      </c>
      <c r="AG19" s="34">
        <v>-3081</v>
      </c>
      <c r="AH19" s="34">
        <v>-4199</v>
      </c>
      <c r="AI19" s="34">
        <v>-2319</v>
      </c>
      <c r="AJ19" s="34">
        <v>-2916</v>
      </c>
      <c r="AK19" s="34">
        <v>-2453</v>
      </c>
      <c r="AL19" s="34">
        <v>-3331</v>
      </c>
      <c r="AM19" s="34">
        <v>-2558</v>
      </c>
      <c r="AN19" s="34">
        <v>-4701</v>
      </c>
      <c r="AO19" s="34">
        <v>-3243</v>
      </c>
      <c r="AP19" s="34">
        <f t="shared" si="12"/>
        <v>-4232</v>
      </c>
      <c r="AQ19" s="34">
        <f>-3702</f>
        <v>-3702</v>
      </c>
      <c r="AR19" s="34">
        <f t="shared" ref="AR19:AR34" si="15">O19-AQ19</f>
        <v>-4753</v>
      </c>
      <c r="AS19" s="34">
        <f>-3498</f>
        <v>-3498</v>
      </c>
    </row>
    <row r="20" spans="1:45" x14ac:dyDescent="0.2">
      <c r="A20" s="6" t="s">
        <v>149</v>
      </c>
      <c r="B20" s="34">
        <f t="shared" si="0"/>
        <v>-854</v>
      </c>
      <c r="C20" s="34">
        <f t="shared" si="1"/>
        <v>-958</v>
      </c>
      <c r="D20" s="34">
        <f t="shared" si="2"/>
        <v>-1023</v>
      </c>
      <c r="E20" s="34">
        <f t="shared" si="3"/>
        <v>-1474</v>
      </c>
      <c r="F20" s="34">
        <f t="shared" si="4"/>
        <v>-1411</v>
      </c>
      <c r="G20" s="34">
        <f t="shared" si="5"/>
        <v>-1984</v>
      </c>
      <c r="H20" s="34">
        <f t="shared" si="6"/>
        <v>-2930</v>
      </c>
      <c r="I20" s="34">
        <f t="shared" si="7"/>
        <v>-3318</v>
      </c>
      <c r="J20" s="34">
        <f t="shared" si="8"/>
        <v>-4822</v>
      </c>
      <c r="K20" s="34">
        <f t="shared" si="9"/>
        <v>-4560</v>
      </c>
      <c r="L20" s="34">
        <f t="shared" si="10"/>
        <v>-4639</v>
      </c>
      <c r="M20" s="34">
        <f t="shared" si="11"/>
        <v>-5001</v>
      </c>
      <c r="N20" s="34">
        <v>-5158</v>
      </c>
      <c r="O20" s="34">
        <f>-6188</f>
        <v>-6188</v>
      </c>
      <c r="Q20" s="34">
        <v>-336</v>
      </c>
      <c r="R20" s="34">
        <v>-518</v>
      </c>
      <c r="S20" s="34">
        <v>-389</v>
      </c>
      <c r="T20" s="34">
        <v>-569</v>
      </c>
      <c r="U20" s="34">
        <v>-460</v>
      </c>
      <c r="V20" s="34">
        <v>-563</v>
      </c>
      <c r="W20" s="34">
        <v>-577</v>
      </c>
      <c r="X20" s="34">
        <v>-897</v>
      </c>
      <c r="Y20" s="34">
        <v>-619</v>
      </c>
      <c r="Z20" s="34">
        <v>-792</v>
      </c>
      <c r="AA20" s="34">
        <v>-918</v>
      </c>
      <c r="AB20" s="34">
        <v>-1066</v>
      </c>
      <c r="AC20" s="34">
        <v>-1168</v>
      </c>
      <c r="AD20" s="34">
        <v>-1762</v>
      </c>
      <c r="AE20" s="34">
        <v>-1740</v>
      </c>
      <c r="AF20" s="34">
        <v>-1578</v>
      </c>
      <c r="AG20" s="34">
        <v>-2356</v>
      </c>
      <c r="AH20" s="34">
        <v>-2466</v>
      </c>
      <c r="AI20" s="34">
        <v>-2038</v>
      </c>
      <c r="AJ20" s="34">
        <v>-2522</v>
      </c>
      <c r="AK20" s="34">
        <v>-1964</v>
      </c>
      <c r="AL20" s="34">
        <v>-2675</v>
      </c>
      <c r="AM20" s="34">
        <v>-1980</v>
      </c>
      <c r="AN20" s="34">
        <v>-3021</v>
      </c>
      <c r="AO20" s="34">
        <v>-2364</v>
      </c>
      <c r="AP20" s="34">
        <f t="shared" si="12"/>
        <v>-2794</v>
      </c>
      <c r="AQ20" s="34">
        <f>-2965</f>
        <v>-2965</v>
      </c>
      <c r="AR20" s="34">
        <f t="shared" si="15"/>
        <v>-3223</v>
      </c>
      <c r="AS20" s="34">
        <f>-3784</f>
        <v>-3784</v>
      </c>
    </row>
    <row r="21" spans="1:45" x14ac:dyDescent="0.2">
      <c r="A21" s="6" t="s">
        <v>150</v>
      </c>
      <c r="B21" s="34">
        <f t="shared" si="0"/>
        <v>0</v>
      </c>
      <c r="C21" s="34">
        <f t="shared" si="1"/>
        <v>0</v>
      </c>
      <c r="D21" s="34">
        <f t="shared" si="2"/>
        <v>0</v>
      </c>
      <c r="E21" s="34">
        <f t="shared" si="3"/>
        <v>0</v>
      </c>
      <c r="F21" s="34">
        <f t="shared" si="4"/>
        <v>0</v>
      </c>
      <c r="G21" s="34">
        <f t="shared" si="5"/>
        <v>0</v>
      </c>
      <c r="H21" s="34">
        <f t="shared" si="6"/>
        <v>-673</v>
      </c>
      <c r="I21" s="34">
        <f t="shared" si="7"/>
        <v>-800</v>
      </c>
      <c r="J21" s="34">
        <f t="shared" si="8"/>
        <v>-476</v>
      </c>
      <c r="K21" s="34">
        <f t="shared" si="9"/>
        <v>-329</v>
      </c>
      <c r="L21" s="34">
        <f t="shared" si="10"/>
        <v>-169</v>
      </c>
      <c r="M21" s="34">
        <f t="shared" si="11"/>
        <v>-912</v>
      </c>
      <c r="N21" s="34">
        <v>-829</v>
      </c>
      <c r="O21" s="34">
        <f>-547</f>
        <v>-547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-244</v>
      </c>
      <c r="AD21" s="34">
        <v>-429</v>
      </c>
      <c r="AE21" s="34">
        <v>-212</v>
      </c>
      <c r="AF21" s="34">
        <v>-588</v>
      </c>
      <c r="AG21" s="34">
        <v>-142</v>
      </c>
      <c r="AH21" s="34">
        <v>-334</v>
      </c>
      <c r="AI21" s="34">
        <v>-80</v>
      </c>
      <c r="AJ21" s="34">
        <v>-249</v>
      </c>
      <c r="AK21" s="34">
        <v>-167</v>
      </c>
      <c r="AL21" s="34">
        <v>-2</v>
      </c>
      <c r="AM21" s="34">
        <v>-132</v>
      </c>
      <c r="AN21" s="34">
        <v>-780</v>
      </c>
      <c r="AO21" s="34">
        <v>-633</v>
      </c>
      <c r="AP21" s="34">
        <f t="shared" si="12"/>
        <v>-196</v>
      </c>
      <c r="AQ21" s="34">
        <f>-244</f>
        <v>-244</v>
      </c>
      <c r="AR21" s="34">
        <f t="shared" si="15"/>
        <v>-303</v>
      </c>
      <c r="AS21" s="34">
        <f>-153</f>
        <v>-153</v>
      </c>
    </row>
    <row r="22" spans="1:45" x14ac:dyDescent="0.2">
      <c r="A22" s="6" t="s">
        <v>151</v>
      </c>
      <c r="B22" s="34">
        <f t="shared" si="0"/>
        <v>0</v>
      </c>
      <c r="C22" s="34">
        <f t="shared" si="1"/>
        <v>0</v>
      </c>
      <c r="D22" s="34">
        <f t="shared" si="2"/>
        <v>0</v>
      </c>
      <c r="E22" s="34">
        <f t="shared" si="3"/>
        <v>0</v>
      </c>
      <c r="F22" s="34">
        <f t="shared" si="4"/>
        <v>0</v>
      </c>
      <c r="G22" s="34">
        <f t="shared" si="5"/>
        <v>0</v>
      </c>
      <c r="H22" s="34">
        <f t="shared" si="6"/>
        <v>0</v>
      </c>
      <c r="I22" s="34">
        <f t="shared" si="7"/>
        <v>0</v>
      </c>
      <c r="J22" s="34">
        <f t="shared" si="8"/>
        <v>729</v>
      </c>
      <c r="K22" s="34">
        <f t="shared" si="9"/>
        <v>0</v>
      </c>
      <c r="L22" s="34">
        <f t="shared" si="10"/>
        <v>0</v>
      </c>
      <c r="M22" s="34">
        <f t="shared" si="11"/>
        <v>12038</v>
      </c>
      <c r="N22" s="34">
        <f t="shared" si="11"/>
        <v>0</v>
      </c>
      <c r="O22" s="34">
        <f>0</f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729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12038</v>
      </c>
      <c r="AN22" s="34">
        <v>0</v>
      </c>
      <c r="AO22" s="34">
        <v>0</v>
      </c>
      <c r="AP22" s="34">
        <f t="shared" si="12"/>
        <v>0</v>
      </c>
      <c r="AQ22" s="34">
        <f>0</f>
        <v>0</v>
      </c>
      <c r="AR22" s="34">
        <f t="shared" si="15"/>
        <v>0</v>
      </c>
      <c r="AS22" s="34">
        <f>0</f>
        <v>0</v>
      </c>
    </row>
    <row r="23" spans="1:45" x14ac:dyDescent="0.2">
      <c r="A23" s="6" t="s">
        <v>152</v>
      </c>
      <c r="B23" s="34">
        <f t="shared" si="0"/>
        <v>-27</v>
      </c>
      <c r="C23" s="34">
        <f t="shared" si="1"/>
        <v>-209</v>
      </c>
      <c r="D23" s="34">
        <f t="shared" si="2"/>
        <v>-40</v>
      </c>
      <c r="E23" s="34">
        <f t="shared" si="3"/>
        <v>-913</v>
      </c>
      <c r="F23" s="34">
        <f t="shared" si="4"/>
        <v>-991</v>
      </c>
      <c r="G23" s="34">
        <f t="shared" si="5"/>
        <v>-753</v>
      </c>
      <c r="H23" s="34">
        <f t="shared" si="6"/>
        <v>366</v>
      </c>
      <c r="I23" s="34">
        <f t="shared" si="7"/>
        <v>-2811</v>
      </c>
      <c r="J23" s="34">
        <f t="shared" si="8"/>
        <v>-1724</v>
      </c>
      <c r="K23" s="34">
        <f t="shared" si="9"/>
        <v>-1573</v>
      </c>
      <c r="L23" s="34">
        <f t="shared" si="10"/>
        <v>-3944</v>
      </c>
      <c r="M23" s="34">
        <f t="shared" si="11"/>
        <v>-2014</v>
      </c>
      <c r="N23" s="34">
        <f>-5064+496</f>
        <v>-4568</v>
      </c>
      <c r="O23" s="34">
        <f>1510-3977</f>
        <v>-2467</v>
      </c>
      <c r="Q23" s="34">
        <v>37</v>
      </c>
      <c r="R23" s="34">
        <v>-64</v>
      </c>
      <c r="S23" s="34">
        <v>-27</v>
      </c>
      <c r="T23" s="34">
        <v>-182</v>
      </c>
      <c r="U23" s="34">
        <v>-96</v>
      </c>
      <c r="V23" s="34">
        <v>56</v>
      </c>
      <c r="W23" s="34">
        <v>-166</v>
      </c>
      <c r="X23" s="34">
        <v>-747</v>
      </c>
      <c r="Y23" s="34">
        <v>-341</v>
      </c>
      <c r="Z23" s="34">
        <v>-650</v>
      </c>
      <c r="AA23" s="34">
        <v>-495</v>
      </c>
      <c r="AB23" s="34">
        <v>-258</v>
      </c>
      <c r="AC23" s="34">
        <v>-176</v>
      </c>
      <c r="AD23" s="34">
        <v>542</v>
      </c>
      <c r="AE23" s="34">
        <v>-1427</v>
      </c>
      <c r="AF23" s="34">
        <v>-1384</v>
      </c>
      <c r="AG23" s="34">
        <v>-720</v>
      </c>
      <c r="AH23" s="34">
        <v>-1004</v>
      </c>
      <c r="AI23" s="34">
        <v>-879</v>
      </c>
      <c r="AJ23" s="34">
        <v>-694</v>
      </c>
      <c r="AK23" s="34">
        <v>-2753</v>
      </c>
      <c r="AL23" s="34">
        <v>-1191</v>
      </c>
      <c r="AM23" s="34">
        <v>268</v>
      </c>
      <c r="AN23" s="34">
        <v>-2282</v>
      </c>
      <c r="AO23" s="34">
        <f>281-1294</f>
        <v>-1013</v>
      </c>
      <c r="AP23" s="34">
        <f t="shared" si="12"/>
        <v>-3555</v>
      </c>
      <c r="AQ23" s="34">
        <f>260-2387</f>
        <v>-2127</v>
      </c>
      <c r="AR23" s="34">
        <f t="shared" si="15"/>
        <v>-340</v>
      </c>
      <c r="AS23" s="34">
        <f>3009-1244</f>
        <v>1765</v>
      </c>
    </row>
    <row r="24" spans="1:45" x14ac:dyDescent="0.2">
      <c r="A24" s="38" t="s">
        <v>153</v>
      </c>
      <c r="B24" s="79">
        <f t="shared" si="0"/>
        <v>7644</v>
      </c>
      <c r="C24" s="79">
        <f t="shared" si="1"/>
        <v>5909</v>
      </c>
      <c r="D24" s="79">
        <f t="shared" si="2"/>
        <v>8148</v>
      </c>
      <c r="E24" s="79">
        <f t="shared" si="3"/>
        <v>9231</v>
      </c>
      <c r="F24" s="79">
        <f t="shared" si="4"/>
        <v>6249</v>
      </c>
      <c r="G24" s="79">
        <f t="shared" si="5"/>
        <v>5018</v>
      </c>
      <c r="H24" s="79">
        <f t="shared" si="6"/>
        <v>9712</v>
      </c>
      <c r="I24" s="79">
        <f t="shared" si="7"/>
        <v>3204</v>
      </c>
      <c r="J24" s="79">
        <f t="shared" si="8"/>
        <v>6484</v>
      </c>
      <c r="K24" s="79">
        <f t="shared" si="9"/>
        <v>10218</v>
      </c>
      <c r="L24" s="79">
        <f t="shared" si="10"/>
        <v>13246</v>
      </c>
      <c r="M24" s="79">
        <f t="shared" si="11"/>
        <v>25055</v>
      </c>
      <c r="N24" s="79">
        <f>SUM(N17:N23)</f>
        <v>11941</v>
      </c>
      <c r="O24" s="79">
        <f>23721</f>
        <v>23721</v>
      </c>
      <c r="P24" s="32"/>
      <c r="Q24" s="79">
        <v>3340</v>
      </c>
      <c r="R24" s="79">
        <v>4304</v>
      </c>
      <c r="S24" s="79">
        <v>2749</v>
      </c>
      <c r="T24" s="79">
        <v>3160</v>
      </c>
      <c r="U24" s="79">
        <v>3628</v>
      </c>
      <c r="V24" s="79">
        <v>4520</v>
      </c>
      <c r="W24" s="79">
        <v>1080</v>
      </c>
      <c r="X24" s="79">
        <v>8151</v>
      </c>
      <c r="Y24" s="79">
        <v>2583</v>
      </c>
      <c r="Z24" s="79">
        <v>3666</v>
      </c>
      <c r="AA24" s="79">
        <v>686</v>
      </c>
      <c r="AB24" s="79">
        <v>4332</v>
      </c>
      <c r="AC24" s="79">
        <v>2530</v>
      </c>
      <c r="AD24" s="79">
        <v>7182</v>
      </c>
      <c r="AE24" s="79">
        <v>-1262</v>
      </c>
      <c r="AF24" s="79">
        <v>4466</v>
      </c>
      <c r="AG24" s="79">
        <v>3529</v>
      </c>
      <c r="AH24" s="79">
        <v>2955</v>
      </c>
      <c r="AI24" s="79">
        <v>2202</v>
      </c>
      <c r="AJ24" s="79">
        <v>8016</v>
      </c>
      <c r="AK24" s="80">
        <v>6461</v>
      </c>
      <c r="AL24" s="81">
        <v>6785</v>
      </c>
      <c r="AM24" s="81">
        <f>SUM(AM17:AM23)</f>
        <v>17394</v>
      </c>
      <c r="AN24" s="81">
        <v>7661</v>
      </c>
      <c r="AO24" s="81">
        <f>SUM(AO17:AO23)</f>
        <v>3993</v>
      </c>
      <c r="AP24" s="81">
        <f t="shared" si="12"/>
        <v>7948</v>
      </c>
      <c r="AQ24" s="81">
        <f>SUM(AQ17:AQ23)</f>
        <v>10530</v>
      </c>
      <c r="AR24" s="81">
        <f t="shared" si="15"/>
        <v>13191</v>
      </c>
      <c r="AS24" s="81">
        <f>SUM(AS17:AS23)</f>
        <v>15217</v>
      </c>
    </row>
    <row r="25" spans="1:45" x14ac:dyDescent="0.2">
      <c r="A25" s="6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L25" s="34"/>
      <c r="AM25" s="34"/>
      <c r="AN25" s="34"/>
      <c r="AO25" s="34"/>
      <c r="AP25" s="34">
        <f t="shared" si="12"/>
        <v>0</v>
      </c>
      <c r="AQ25" s="34"/>
      <c r="AR25" s="34"/>
      <c r="AS25" s="34"/>
    </row>
    <row r="26" spans="1:45" x14ac:dyDescent="0.2">
      <c r="A26" s="6" t="s">
        <v>154</v>
      </c>
      <c r="B26" s="34">
        <f t="shared" si="0"/>
        <v>267</v>
      </c>
      <c r="C26" s="34">
        <f t="shared" si="1"/>
        <v>676</v>
      </c>
      <c r="D26" s="34">
        <f t="shared" si="2"/>
        <v>679</v>
      </c>
      <c r="E26" s="34">
        <f t="shared" si="3"/>
        <v>895</v>
      </c>
      <c r="F26" s="34">
        <f t="shared" si="4"/>
        <v>1667</v>
      </c>
      <c r="G26" s="34">
        <f t="shared" si="5"/>
        <v>1791</v>
      </c>
      <c r="H26" s="34">
        <f t="shared" si="6"/>
        <v>1696</v>
      </c>
      <c r="I26" s="34">
        <f t="shared" si="7"/>
        <v>2101</v>
      </c>
      <c r="J26" s="34">
        <f t="shared" si="8"/>
        <v>2872</v>
      </c>
      <c r="K26" s="34">
        <f t="shared" si="9"/>
        <v>1887</v>
      </c>
      <c r="L26" s="34">
        <f t="shared" si="10"/>
        <v>2392</v>
      </c>
      <c r="M26" s="34">
        <f t="shared" si="11"/>
        <v>3914</v>
      </c>
      <c r="N26" s="34">
        <v>2217</v>
      </c>
      <c r="O26" s="34">
        <f>1978</f>
        <v>1978</v>
      </c>
      <c r="Q26" s="34">
        <v>111</v>
      </c>
      <c r="R26" s="34">
        <v>156</v>
      </c>
      <c r="S26" s="34">
        <v>334</v>
      </c>
      <c r="T26" s="34">
        <v>342</v>
      </c>
      <c r="U26" s="34">
        <v>386</v>
      </c>
      <c r="V26" s="34">
        <v>293</v>
      </c>
      <c r="W26" s="34">
        <v>389</v>
      </c>
      <c r="X26" s="34">
        <v>506</v>
      </c>
      <c r="Y26" s="34">
        <v>992</v>
      </c>
      <c r="Z26" s="34">
        <v>675</v>
      </c>
      <c r="AA26" s="34">
        <v>849</v>
      </c>
      <c r="AB26" s="34">
        <v>942</v>
      </c>
      <c r="AC26" s="34">
        <v>767</v>
      </c>
      <c r="AD26" s="34">
        <v>929</v>
      </c>
      <c r="AE26" s="34">
        <v>895</v>
      </c>
      <c r="AF26" s="34">
        <v>1206</v>
      </c>
      <c r="AG26" s="34">
        <v>1517</v>
      </c>
      <c r="AH26" s="34">
        <v>1355</v>
      </c>
      <c r="AI26" s="34">
        <v>1125</v>
      </c>
      <c r="AJ26" s="34">
        <v>762</v>
      </c>
      <c r="AK26" s="34">
        <v>644</v>
      </c>
      <c r="AL26" s="34">
        <v>1748</v>
      </c>
      <c r="AM26" s="34">
        <v>2525</v>
      </c>
      <c r="AN26" s="34">
        <v>1389</v>
      </c>
      <c r="AO26" s="34">
        <v>975</v>
      </c>
      <c r="AP26" s="34">
        <f t="shared" si="12"/>
        <v>1242</v>
      </c>
      <c r="AQ26" s="34">
        <f>924</f>
        <v>924</v>
      </c>
      <c r="AR26" s="34">
        <f t="shared" si="15"/>
        <v>1054</v>
      </c>
      <c r="AS26" s="34">
        <f>1392</f>
        <v>1392</v>
      </c>
    </row>
    <row r="27" spans="1:45" x14ac:dyDescent="0.2">
      <c r="A27" s="6" t="s">
        <v>155</v>
      </c>
      <c r="B27" s="34">
        <f t="shared" si="0"/>
        <v>1174</v>
      </c>
      <c r="C27" s="34">
        <f t="shared" si="1"/>
        <v>73</v>
      </c>
      <c r="D27" s="34">
        <f t="shared" si="2"/>
        <v>12</v>
      </c>
      <c r="E27" s="34">
        <f t="shared" si="3"/>
        <v>822</v>
      </c>
      <c r="F27" s="34">
        <f t="shared" si="4"/>
        <v>19</v>
      </c>
      <c r="G27" s="34">
        <f t="shared" si="5"/>
        <v>66</v>
      </c>
      <c r="H27" s="34">
        <f t="shared" si="6"/>
        <v>16</v>
      </c>
      <c r="I27" s="34">
        <f t="shared" si="7"/>
        <v>183</v>
      </c>
      <c r="J27" s="34">
        <f t="shared" si="8"/>
        <v>119</v>
      </c>
      <c r="K27" s="34">
        <f t="shared" si="9"/>
        <v>129</v>
      </c>
      <c r="L27" s="34">
        <f t="shared" si="10"/>
        <v>136</v>
      </c>
      <c r="M27" s="34">
        <f t="shared" si="11"/>
        <v>75</v>
      </c>
      <c r="N27" s="34">
        <v>598</v>
      </c>
      <c r="O27" s="34">
        <f>5610</f>
        <v>5610</v>
      </c>
      <c r="Q27" s="34">
        <v>124</v>
      </c>
      <c r="R27" s="34">
        <v>1050</v>
      </c>
      <c r="S27" s="34">
        <v>33</v>
      </c>
      <c r="T27" s="34">
        <v>40</v>
      </c>
      <c r="U27" s="34">
        <v>48</v>
      </c>
      <c r="V27" s="34">
        <v>-36</v>
      </c>
      <c r="W27" s="34">
        <v>2</v>
      </c>
      <c r="X27" s="34">
        <v>820</v>
      </c>
      <c r="Y27" s="34">
        <v>6</v>
      </c>
      <c r="Z27" s="34">
        <v>13</v>
      </c>
      <c r="AA27" s="34">
        <v>42</v>
      </c>
      <c r="AB27" s="34">
        <v>24</v>
      </c>
      <c r="AC27" s="34">
        <v>2</v>
      </c>
      <c r="AD27" s="34">
        <v>14</v>
      </c>
      <c r="AE27" s="34">
        <v>209</v>
      </c>
      <c r="AF27" s="34">
        <v>-26</v>
      </c>
      <c r="AG27" s="34">
        <v>37</v>
      </c>
      <c r="AH27" s="34">
        <v>82</v>
      </c>
      <c r="AI27" s="34">
        <v>150</v>
      </c>
      <c r="AJ27" s="34">
        <v>-21</v>
      </c>
      <c r="AK27" s="34">
        <v>65</v>
      </c>
      <c r="AL27" s="34">
        <v>71</v>
      </c>
      <c r="AM27" s="34">
        <v>68</v>
      </c>
      <c r="AN27" s="34">
        <v>7</v>
      </c>
      <c r="AO27" s="34">
        <v>337</v>
      </c>
      <c r="AP27" s="34">
        <f t="shared" si="12"/>
        <v>261</v>
      </c>
      <c r="AQ27" s="34">
        <f>2122</f>
        <v>2122</v>
      </c>
      <c r="AR27" s="34">
        <f t="shared" si="15"/>
        <v>3488</v>
      </c>
      <c r="AS27" s="34">
        <f>0</f>
        <v>0</v>
      </c>
    </row>
    <row r="28" spans="1:45" x14ac:dyDescent="0.2">
      <c r="A28" s="6" t="s">
        <v>156</v>
      </c>
      <c r="B28" s="34">
        <f t="shared" si="0"/>
        <v>-60</v>
      </c>
      <c r="C28" s="34">
        <f t="shared" si="1"/>
        <v>-132</v>
      </c>
      <c r="D28" s="34">
        <f t="shared" si="2"/>
        <v>-342</v>
      </c>
      <c r="E28" s="34">
        <f t="shared" si="3"/>
        <v>-553</v>
      </c>
      <c r="F28" s="34">
        <f t="shared" si="4"/>
        <v>-504</v>
      </c>
      <c r="G28" s="34">
        <f t="shared" si="5"/>
        <v>-319</v>
      </c>
      <c r="H28" s="34">
        <f t="shared" si="6"/>
        <v>-1007</v>
      </c>
      <c r="I28" s="34">
        <f t="shared" si="7"/>
        <v>-5065</v>
      </c>
      <c r="J28" s="34">
        <f t="shared" si="8"/>
        <v>-7704</v>
      </c>
      <c r="K28" s="34">
        <f t="shared" si="9"/>
        <v>-7512</v>
      </c>
      <c r="L28" s="34">
        <f t="shared" si="10"/>
        <v>-9909</v>
      </c>
      <c r="M28" s="34">
        <f t="shared" si="11"/>
        <v>-13120</v>
      </c>
      <c r="N28" s="34">
        <v>-15776</v>
      </c>
      <c r="O28" s="34">
        <f>-33411</f>
        <v>-33411</v>
      </c>
      <c r="Q28" s="34">
        <v>-20</v>
      </c>
      <c r="R28" s="34">
        <v>-40</v>
      </c>
      <c r="S28" s="34">
        <v>-96</v>
      </c>
      <c r="T28" s="34">
        <v>-36</v>
      </c>
      <c r="U28" s="34">
        <v>-142</v>
      </c>
      <c r="V28" s="34">
        <v>-200</v>
      </c>
      <c r="W28" s="34">
        <v>-242</v>
      </c>
      <c r="X28" s="34">
        <v>-311</v>
      </c>
      <c r="Y28" s="34">
        <v>-593</v>
      </c>
      <c r="Z28" s="34">
        <v>89</v>
      </c>
      <c r="AA28" s="34">
        <v>-152</v>
      </c>
      <c r="AB28" s="34">
        <v>-167</v>
      </c>
      <c r="AC28" s="34">
        <v>-423</v>
      </c>
      <c r="AD28" s="34">
        <v>-584</v>
      </c>
      <c r="AE28" s="34">
        <v>-2192</v>
      </c>
      <c r="AF28" s="34">
        <v>-2873</v>
      </c>
      <c r="AG28" s="34">
        <v>-3667</v>
      </c>
      <c r="AH28" s="34">
        <v>-4037</v>
      </c>
      <c r="AI28" s="34">
        <v>-4166</v>
      </c>
      <c r="AJ28" s="34">
        <v>-3346</v>
      </c>
      <c r="AK28" s="34">
        <v>-4414</v>
      </c>
      <c r="AL28" s="34">
        <v>-5495</v>
      </c>
      <c r="AM28" s="34">
        <v>-6863</v>
      </c>
      <c r="AN28" s="34">
        <v>-6257</v>
      </c>
      <c r="AO28" s="34">
        <v>-6939</v>
      </c>
      <c r="AP28" s="34">
        <f t="shared" si="12"/>
        <v>-8837</v>
      </c>
      <c r="AQ28" s="34">
        <f>-12792</f>
        <v>-12792</v>
      </c>
      <c r="AR28" s="34">
        <f t="shared" si="15"/>
        <v>-20619</v>
      </c>
      <c r="AS28" s="34">
        <f>-26479</f>
        <v>-26479</v>
      </c>
    </row>
    <row r="29" spans="1:45" x14ac:dyDescent="0.2">
      <c r="A29" s="40" t="s">
        <v>157</v>
      </c>
      <c r="B29" s="78">
        <f t="shared" si="0"/>
        <v>1381</v>
      </c>
      <c r="C29" s="78">
        <f t="shared" si="1"/>
        <v>617</v>
      </c>
      <c r="D29" s="78">
        <f t="shared" si="2"/>
        <v>349</v>
      </c>
      <c r="E29" s="78">
        <f t="shared" si="3"/>
        <v>1164</v>
      </c>
      <c r="F29" s="78">
        <f t="shared" si="4"/>
        <v>1182</v>
      </c>
      <c r="G29" s="78">
        <f t="shared" si="5"/>
        <v>1538</v>
      </c>
      <c r="H29" s="78">
        <f t="shared" si="6"/>
        <v>705</v>
      </c>
      <c r="I29" s="78">
        <f t="shared" si="7"/>
        <v>-2781</v>
      </c>
      <c r="J29" s="78">
        <f t="shared" si="8"/>
        <v>-4713</v>
      </c>
      <c r="K29" s="78">
        <f t="shared" si="9"/>
        <v>-5496</v>
      </c>
      <c r="L29" s="34">
        <f t="shared" si="10"/>
        <v>-7381</v>
      </c>
      <c r="M29" s="34">
        <f t="shared" si="11"/>
        <v>-9131</v>
      </c>
      <c r="N29" s="34">
        <f>SUM(N26:N28)</f>
        <v>-12961</v>
      </c>
      <c r="O29" s="34">
        <f>SUM(O26:O28)</f>
        <v>-25823</v>
      </c>
      <c r="P29" s="40"/>
      <c r="Q29" s="78">
        <v>215</v>
      </c>
      <c r="R29" s="78">
        <v>1166</v>
      </c>
      <c r="S29" s="78">
        <v>271</v>
      </c>
      <c r="T29" s="78">
        <v>346</v>
      </c>
      <c r="U29" s="78">
        <v>292</v>
      </c>
      <c r="V29" s="78">
        <v>57</v>
      </c>
      <c r="W29" s="78">
        <v>149</v>
      </c>
      <c r="X29" s="78">
        <v>1015</v>
      </c>
      <c r="Y29" s="78">
        <v>405</v>
      </c>
      <c r="Z29" s="78">
        <v>777</v>
      </c>
      <c r="AA29" s="78">
        <v>739</v>
      </c>
      <c r="AB29" s="78">
        <v>799</v>
      </c>
      <c r="AC29" s="78">
        <v>346</v>
      </c>
      <c r="AD29" s="78">
        <v>359</v>
      </c>
      <c r="AE29" s="78">
        <v>-1088</v>
      </c>
      <c r="AF29" s="78">
        <v>-1693</v>
      </c>
      <c r="AG29" s="78">
        <v>-2113</v>
      </c>
      <c r="AH29" s="78">
        <v>-2600</v>
      </c>
      <c r="AI29" s="78">
        <v>-2891</v>
      </c>
      <c r="AJ29" s="78">
        <v>-2605</v>
      </c>
      <c r="AK29" s="78">
        <v>-3705</v>
      </c>
      <c r="AL29" s="78">
        <v>-3676</v>
      </c>
      <c r="AM29" s="78">
        <f>SUM(AM26:AM28)</f>
        <v>-4270</v>
      </c>
      <c r="AN29" s="34">
        <v>-4861</v>
      </c>
      <c r="AO29" s="78">
        <f>SUM(AO26:AO28)</f>
        <v>-5627</v>
      </c>
      <c r="AP29" s="78">
        <f t="shared" si="12"/>
        <v>-7334</v>
      </c>
      <c r="AQ29" s="78">
        <f>SUM(AQ26:AQ28)</f>
        <v>-9746</v>
      </c>
      <c r="AR29" s="78">
        <f t="shared" si="15"/>
        <v>-16077</v>
      </c>
      <c r="AS29" s="78">
        <f>SUM(AS26:AS28)</f>
        <v>-25087</v>
      </c>
    </row>
    <row r="30" spans="1:45" x14ac:dyDescent="0.2">
      <c r="A30" s="6" t="s">
        <v>158</v>
      </c>
      <c r="B30" s="34">
        <f t="shared" si="0"/>
        <v>0</v>
      </c>
      <c r="C30" s="34">
        <f t="shared" si="1"/>
        <v>0</v>
      </c>
      <c r="D30" s="34">
        <f t="shared" si="2"/>
        <v>0</v>
      </c>
      <c r="E30" s="34">
        <f t="shared" si="3"/>
        <v>0</v>
      </c>
      <c r="F30" s="34">
        <f t="shared" si="4"/>
        <v>0</v>
      </c>
      <c r="G30" s="34">
        <f t="shared" si="5"/>
        <v>0</v>
      </c>
      <c r="H30" s="34">
        <f t="shared" si="6"/>
        <v>0</v>
      </c>
      <c r="I30" s="34">
        <f t="shared" si="7"/>
        <v>0</v>
      </c>
      <c r="J30" s="34">
        <f t="shared" si="8"/>
        <v>0</v>
      </c>
      <c r="K30" s="34">
        <f t="shared" si="9"/>
        <v>0</v>
      </c>
      <c r="L30" s="34">
        <f t="shared" si="10"/>
        <v>-16</v>
      </c>
      <c r="M30" s="34">
        <f t="shared" si="11"/>
        <v>-37</v>
      </c>
      <c r="N30" s="34">
        <v>66</v>
      </c>
      <c r="O30" s="34">
        <f>-4991</f>
        <v>-4991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L30" s="34">
        <v>-16</v>
      </c>
      <c r="AM30" s="34">
        <v>-38</v>
      </c>
      <c r="AN30" s="34">
        <v>1</v>
      </c>
      <c r="AO30" s="34">
        <v>17</v>
      </c>
      <c r="AP30" s="34">
        <f t="shared" si="12"/>
        <v>49</v>
      </c>
      <c r="AQ30" s="34">
        <f>-1470</f>
        <v>-1470</v>
      </c>
      <c r="AR30" s="34">
        <f t="shared" si="15"/>
        <v>-3521</v>
      </c>
      <c r="AS30" s="34">
        <f>-504</f>
        <v>-504</v>
      </c>
    </row>
    <row r="31" spans="1:45" x14ac:dyDescent="0.2">
      <c r="A31" s="40" t="s">
        <v>159</v>
      </c>
      <c r="B31" s="78">
        <f t="shared" si="0"/>
        <v>9025</v>
      </c>
      <c r="C31" s="78">
        <f t="shared" si="1"/>
        <v>6526</v>
      </c>
      <c r="D31" s="78">
        <f t="shared" si="2"/>
        <v>8497</v>
      </c>
      <c r="E31" s="78">
        <f t="shared" si="3"/>
        <v>10395</v>
      </c>
      <c r="F31" s="78">
        <f t="shared" si="4"/>
        <v>7431</v>
      </c>
      <c r="G31" s="78">
        <f t="shared" si="5"/>
        <v>6556</v>
      </c>
      <c r="H31" s="78">
        <f t="shared" si="6"/>
        <v>10417</v>
      </c>
      <c r="I31" s="78">
        <f t="shared" si="7"/>
        <v>423</v>
      </c>
      <c r="J31" s="78">
        <f t="shared" si="8"/>
        <v>1771</v>
      </c>
      <c r="K31" s="78">
        <f t="shared" si="9"/>
        <v>4722</v>
      </c>
      <c r="L31" s="34">
        <f t="shared" si="10"/>
        <v>5849</v>
      </c>
      <c r="M31" s="34">
        <f t="shared" si="11"/>
        <v>15887</v>
      </c>
      <c r="N31" s="34">
        <v>-954</v>
      </c>
      <c r="O31" s="34">
        <f>-7093</f>
        <v>-7093</v>
      </c>
      <c r="P31" s="40"/>
      <c r="Q31" s="78">
        <v>3555</v>
      </c>
      <c r="R31" s="78">
        <v>5470</v>
      </c>
      <c r="S31" s="78">
        <v>3020</v>
      </c>
      <c r="T31" s="78">
        <v>3506</v>
      </c>
      <c r="U31" s="78">
        <v>3920</v>
      </c>
      <c r="V31" s="78">
        <v>4577</v>
      </c>
      <c r="W31" s="78">
        <v>1229</v>
      </c>
      <c r="X31" s="78">
        <v>9166</v>
      </c>
      <c r="Y31" s="78">
        <v>2988</v>
      </c>
      <c r="Z31" s="78">
        <v>4443</v>
      </c>
      <c r="AA31" s="78">
        <v>1425</v>
      </c>
      <c r="AB31" s="78">
        <v>5131</v>
      </c>
      <c r="AC31" s="78">
        <v>2876</v>
      </c>
      <c r="AD31" s="78">
        <v>7541</v>
      </c>
      <c r="AE31" s="78">
        <v>-2350</v>
      </c>
      <c r="AF31" s="78">
        <v>2773</v>
      </c>
      <c r="AG31" s="78">
        <v>1416</v>
      </c>
      <c r="AH31" s="78">
        <v>355</v>
      </c>
      <c r="AI31" s="78">
        <v>-689</v>
      </c>
      <c r="AJ31" s="78">
        <v>5411</v>
      </c>
      <c r="AK31" s="78">
        <v>2756</v>
      </c>
      <c r="AL31" s="78">
        <v>3093</v>
      </c>
      <c r="AM31" s="78">
        <v>13086</v>
      </c>
      <c r="AN31" s="78">
        <v>2801</v>
      </c>
      <c r="AO31" s="78">
        <f>AO29+AO24+AO30</f>
        <v>-1617</v>
      </c>
      <c r="AP31" s="78">
        <f t="shared" si="12"/>
        <v>663</v>
      </c>
      <c r="AQ31" s="78">
        <f>AQ29+AQ24+AQ30</f>
        <v>-686</v>
      </c>
      <c r="AR31" s="78">
        <f t="shared" si="15"/>
        <v>-6407</v>
      </c>
      <c r="AS31" s="78">
        <f>AS29+AS24+AS30</f>
        <v>-10374</v>
      </c>
    </row>
    <row r="32" spans="1:45" x14ac:dyDescent="0.2">
      <c r="A32" s="6" t="s">
        <v>160</v>
      </c>
      <c r="B32" s="34">
        <f t="shared" si="0"/>
        <v>-1585</v>
      </c>
      <c r="C32" s="34">
        <f t="shared" si="1"/>
        <v>-1526</v>
      </c>
      <c r="D32" s="34">
        <f t="shared" si="2"/>
        <v>-1833</v>
      </c>
      <c r="E32" s="34">
        <f t="shared" si="3"/>
        <v>-2026</v>
      </c>
      <c r="F32" s="34">
        <f t="shared" si="4"/>
        <v>-2002</v>
      </c>
      <c r="G32" s="34">
        <f t="shared" si="5"/>
        <v>-1654</v>
      </c>
      <c r="H32" s="34">
        <f t="shared" si="6"/>
        <v>-2524</v>
      </c>
      <c r="I32" s="34">
        <f t="shared" si="7"/>
        <v>-1123</v>
      </c>
      <c r="J32" s="34">
        <f t="shared" si="8"/>
        <v>-1585</v>
      </c>
      <c r="K32" s="34">
        <f t="shared" si="9"/>
        <v>-2686</v>
      </c>
      <c r="L32" s="34">
        <f t="shared" si="10"/>
        <v>-2842</v>
      </c>
      <c r="M32" s="34">
        <f t="shared" si="11"/>
        <v>-2886</v>
      </c>
      <c r="N32" s="34">
        <v>-2416</v>
      </c>
      <c r="O32" s="34">
        <f>179</f>
        <v>179</v>
      </c>
      <c r="Q32" s="34">
        <v>-804</v>
      </c>
      <c r="R32" s="34">
        <v>-781</v>
      </c>
      <c r="S32" s="34">
        <v>-651</v>
      </c>
      <c r="T32" s="34">
        <v>-875</v>
      </c>
      <c r="U32" s="34">
        <v>-822</v>
      </c>
      <c r="V32" s="34">
        <v>-1011</v>
      </c>
      <c r="W32" s="34">
        <v>-302</v>
      </c>
      <c r="X32" s="34">
        <v>-1724</v>
      </c>
      <c r="Y32" s="34">
        <v>-795</v>
      </c>
      <c r="Z32" s="34">
        <v>-1207</v>
      </c>
      <c r="AA32" s="34">
        <v>-117</v>
      </c>
      <c r="AB32" s="34">
        <v>-1537</v>
      </c>
      <c r="AC32" s="34">
        <v>-754</v>
      </c>
      <c r="AD32" s="34">
        <v>-1770</v>
      </c>
      <c r="AE32" s="34">
        <v>369</v>
      </c>
      <c r="AF32" s="34">
        <v>-1492</v>
      </c>
      <c r="AG32" s="34">
        <v>-857</v>
      </c>
      <c r="AH32" s="34">
        <v>-728</v>
      </c>
      <c r="AI32" s="34">
        <v>-1082</v>
      </c>
      <c r="AJ32" s="34">
        <v>-1604</v>
      </c>
      <c r="AK32" s="34">
        <v>-1461</v>
      </c>
      <c r="AL32" s="34">
        <v>-1381</v>
      </c>
      <c r="AM32" s="34">
        <v>-1414</v>
      </c>
      <c r="AN32" s="34">
        <v>-1472</v>
      </c>
      <c r="AO32" s="34">
        <v>-502</v>
      </c>
      <c r="AP32" s="34">
        <f t="shared" si="12"/>
        <v>-1914</v>
      </c>
      <c r="AQ32" s="34">
        <f>-811</f>
        <v>-811</v>
      </c>
      <c r="AR32" s="34">
        <f t="shared" si="15"/>
        <v>990</v>
      </c>
      <c r="AS32" s="34">
        <f>1434</f>
        <v>1434</v>
      </c>
    </row>
    <row r="33" spans="1:45" x14ac:dyDescent="0.2">
      <c r="A33" s="40" t="s">
        <v>161</v>
      </c>
      <c r="B33" s="78">
        <f t="shared" si="0"/>
        <v>7440</v>
      </c>
      <c r="C33" s="78">
        <f t="shared" si="1"/>
        <v>5000</v>
      </c>
      <c r="D33" s="78">
        <f t="shared" si="2"/>
        <v>6664</v>
      </c>
      <c r="E33" s="78">
        <f t="shared" si="3"/>
        <v>8369</v>
      </c>
      <c r="F33" s="78">
        <f t="shared" si="4"/>
        <v>5429</v>
      </c>
      <c r="G33" s="78">
        <f t="shared" si="5"/>
        <v>4902</v>
      </c>
      <c r="H33" s="78">
        <f t="shared" si="6"/>
        <v>7893</v>
      </c>
      <c r="I33" s="78">
        <f t="shared" si="7"/>
        <v>-700</v>
      </c>
      <c r="J33" s="78">
        <f t="shared" si="8"/>
        <v>186</v>
      </c>
      <c r="K33" s="78">
        <f t="shared" si="9"/>
        <v>2036</v>
      </c>
      <c r="L33" s="34">
        <f t="shared" si="10"/>
        <v>3007</v>
      </c>
      <c r="M33" s="34">
        <f t="shared" si="11"/>
        <v>13001</v>
      </c>
      <c r="N33" s="34">
        <v>-3370</v>
      </c>
      <c r="O33" s="34">
        <f>-6914</f>
        <v>-6914</v>
      </c>
      <c r="P33" s="40"/>
      <c r="Q33" s="78">
        <v>2751</v>
      </c>
      <c r="R33" s="78">
        <v>4689</v>
      </c>
      <c r="S33" s="78">
        <v>2369</v>
      </c>
      <c r="T33" s="78">
        <v>2631</v>
      </c>
      <c r="U33" s="78">
        <v>3098</v>
      </c>
      <c r="V33" s="78">
        <v>3566</v>
      </c>
      <c r="W33" s="78">
        <v>927</v>
      </c>
      <c r="X33" s="78">
        <v>7442</v>
      </c>
      <c r="Y33" s="78">
        <v>2193</v>
      </c>
      <c r="Z33" s="78">
        <v>3236</v>
      </c>
      <c r="AA33" s="78">
        <v>1308</v>
      </c>
      <c r="AB33" s="78">
        <v>3594</v>
      </c>
      <c r="AC33" s="78">
        <v>2122</v>
      </c>
      <c r="AD33" s="78">
        <v>5771</v>
      </c>
      <c r="AE33" s="78">
        <v>-1981</v>
      </c>
      <c r="AF33" s="78">
        <v>1281</v>
      </c>
      <c r="AG33" s="78">
        <v>559</v>
      </c>
      <c r="AH33" s="78">
        <v>-373</v>
      </c>
      <c r="AI33" s="78">
        <v>-1771</v>
      </c>
      <c r="AJ33" s="78">
        <v>3807</v>
      </c>
      <c r="AK33" s="34">
        <v>1295</v>
      </c>
      <c r="AL33" s="34">
        <v>1712</v>
      </c>
      <c r="AM33" s="34">
        <f>AM31+AM32</f>
        <v>11672</v>
      </c>
      <c r="AN33" s="34">
        <v>1329</v>
      </c>
      <c r="AO33" s="34">
        <f>AO31+AO32</f>
        <v>-2119</v>
      </c>
      <c r="AP33" s="34">
        <f t="shared" si="12"/>
        <v>-1251</v>
      </c>
      <c r="AQ33" s="34">
        <f>AQ31+AQ32</f>
        <v>-1497</v>
      </c>
      <c r="AR33" s="34">
        <f t="shared" si="15"/>
        <v>-5417</v>
      </c>
      <c r="AS33" s="34">
        <f>AS31+AS32</f>
        <v>-8940</v>
      </c>
    </row>
    <row r="34" spans="1:45" x14ac:dyDescent="0.2">
      <c r="A34" s="38" t="s">
        <v>162</v>
      </c>
      <c r="B34" s="79">
        <f t="shared" si="0"/>
        <v>7440</v>
      </c>
      <c r="C34" s="79">
        <f t="shared" si="1"/>
        <v>5000</v>
      </c>
      <c r="D34" s="79">
        <f t="shared" si="2"/>
        <v>6664</v>
      </c>
      <c r="E34" s="79">
        <f t="shared" si="3"/>
        <v>8369</v>
      </c>
      <c r="F34" s="79">
        <f t="shared" si="4"/>
        <v>5429</v>
      </c>
      <c r="G34" s="79">
        <f t="shared" si="5"/>
        <v>4902</v>
      </c>
      <c r="H34" s="79">
        <f t="shared" si="6"/>
        <v>7893</v>
      </c>
      <c r="I34" s="79">
        <f t="shared" si="7"/>
        <v>-700</v>
      </c>
      <c r="J34" s="79">
        <f t="shared" si="8"/>
        <v>186</v>
      </c>
      <c r="K34" s="79">
        <f t="shared" si="9"/>
        <v>2036</v>
      </c>
      <c r="L34" s="79">
        <f t="shared" si="10"/>
        <v>3007</v>
      </c>
      <c r="M34" s="79">
        <f t="shared" si="11"/>
        <v>13001</v>
      </c>
      <c r="N34" s="79">
        <v>-3370</v>
      </c>
      <c r="O34" s="79">
        <f>-6914</f>
        <v>-6914</v>
      </c>
      <c r="P34" s="32"/>
      <c r="Q34" s="79">
        <v>2751</v>
      </c>
      <c r="R34" s="79">
        <v>4689</v>
      </c>
      <c r="S34" s="79">
        <v>2369</v>
      </c>
      <c r="T34" s="79">
        <v>2631</v>
      </c>
      <c r="U34" s="79">
        <v>3098</v>
      </c>
      <c r="V34" s="79">
        <v>3566</v>
      </c>
      <c r="W34" s="79">
        <v>927</v>
      </c>
      <c r="X34" s="79">
        <v>7442</v>
      </c>
      <c r="Y34" s="79">
        <v>2193</v>
      </c>
      <c r="Z34" s="79">
        <v>3236</v>
      </c>
      <c r="AA34" s="79">
        <v>1308</v>
      </c>
      <c r="AB34" s="79">
        <v>3594</v>
      </c>
      <c r="AC34" s="79">
        <v>2122</v>
      </c>
      <c r="AD34" s="79">
        <v>5771</v>
      </c>
      <c r="AE34" s="79">
        <v>-1981</v>
      </c>
      <c r="AF34" s="79">
        <v>1281</v>
      </c>
      <c r="AG34" s="79">
        <v>559</v>
      </c>
      <c r="AH34" s="79">
        <v>-373</v>
      </c>
      <c r="AI34" s="79">
        <v>-1771</v>
      </c>
      <c r="AJ34" s="79">
        <v>3807</v>
      </c>
      <c r="AK34" s="80">
        <v>1295</v>
      </c>
      <c r="AL34" s="62">
        <v>1712</v>
      </c>
      <c r="AM34" s="62">
        <f>AM33</f>
        <v>11672</v>
      </c>
      <c r="AN34" s="62">
        <v>1329</v>
      </c>
      <c r="AO34" s="62">
        <f>AO33</f>
        <v>-2119</v>
      </c>
      <c r="AP34" s="62">
        <f t="shared" si="12"/>
        <v>-1251</v>
      </c>
      <c r="AQ34" s="62">
        <f>AQ33</f>
        <v>-1497</v>
      </c>
      <c r="AR34" s="62">
        <f t="shared" si="15"/>
        <v>-5417</v>
      </c>
      <c r="AS34" s="62">
        <f>AS33</f>
        <v>-8940</v>
      </c>
    </row>
    <row r="35" spans="1:45" x14ac:dyDescent="0.2">
      <c r="B35" s="34">
        <f t="shared" si="0"/>
        <v>0</v>
      </c>
      <c r="C35" s="34">
        <f t="shared" si="1"/>
        <v>0</v>
      </c>
      <c r="D35" s="34">
        <f t="shared" si="2"/>
        <v>0</v>
      </c>
      <c r="E35" s="34">
        <f t="shared" si="3"/>
        <v>0</v>
      </c>
      <c r="F35" s="34">
        <f t="shared" si="4"/>
        <v>0</v>
      </c>
      <c r="G35" s="34">
        <f t="shared" si="5"/>
        <v>0</v>
      </c>
      <c r="H35" s="34">
        <f t="shared" si="6"/>
        <v>0</v>
      </c>
      <c r="I35" s="34">
        <f t="shared" si="7"/>
        <v>0</v>
      </c>
      <c r="J35" s="34">
        <f t="shared" si="8"/>
        <v>0</v>
      </c>
      <c r="K35" s="34">
        <f t="shared" si="9"/>
        <v>0</v>
      </c>
      <c r="L35" s="34">
        <f t="shared" si="10"/>
        <v>0</v>
      </c>
      <c r="M35" s="34">
        <f t="shared" si="11"/>
        <v>0</v>
      </c>
      <c r="N35" s="34">
        <f ca="1">SUM(AO35:AP35)</f>
        <v>0</v>
      </c>
      <c r="O35" s="34">
        <f>SUM(AQ35:AR35)</f>
        <v>0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L35" s="34"/>
      <c r="AM35" s="34"/>
      <c r="AN35" s="34"/>
      <c r="AO35" s="34"/>
      <c r="AP35" s="34">
        <f t="shared" ca="1" si="12"/>
        <v>0</v>
      </c>
      <c r="AQ35" s="34"/>
      <c r="AR35" s="34"/>
      <c r="AS35" s="34"/>
    </row>
    <row r="36" spans="1:45" x14ac:dyDescent="0.2">
      <c r="A36" s="42" t="s">
        <v>163</v>
      </c>
      <c r="B36" s="82">
        <f t="shared" si="0"/>
        <v>0</v>
      </c>
      <c r="C36" s="82">
        <f t="shared" si="1"/>
        <v>0</v>
      </c>
      <c r="D36" s="82">
        <f t="shared" si="2"/>
        <v>0</v>
      </c>
      <c r="E36" s="82">
        <f t="shared" si="3"/>
        <v>0</v>
      </c>
      <c r="F36" s="82">
        <f t="shared" si="4"/>
        <v>0</v>
      </c>
      <c r="G36" s="82">
        <f t="shared" si="5"/>
        <v>0</v>
      </c>
      <c r="H36" s="82">
        <f t="shared" si="6"/>
        <v>0</v>
      </c>
      <c r="I36" s="82">
        <f t="shared" si="7"/>
        <v>0</v>
      </c>
      <c r="J36" s="82">
        <f t="shared" si="8"/>
        <v>0</v>
      </c>
      <c r="K36" s="82">
        <f t="shared" si="9"/>
        <v>0</v>
      </c>
      <c r="L36" s="34">
        <f t="shared" si="10"/>
        <v>0</v>
      </c>
      <c r="M36" s="34">
        <f t="shared" si="11"/>
        <v>0</v>
      </c>
      <c r="N36" s="34">
        <f ca="1">SUM(AO36:AP36)</f>
        <v>0</v>
      </c>
      <c r="O36" s="34">
        <f>SUM(AQ36:AR36)</f>
        <v>0</v>
      </c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L36" s="34"/>
      <c r="AM36" s="34"/>
      <c r="AN36" s="34"/>
      <c r="AO36" s="34"/>
      <c r="AP36" s="34">
        <f t="shared" ca="1" si="12"/>
        <v>0</v>
      </c>
      <c r="AQ36" s="34"/>
      <c r="AR36" s="34"/>
      <c r="AS36" s="34"/>
    </row>
    <row r="37" spans="1:45" x14ac:dyDescent="0.2">
      <c r="A37" s="6" t="s">
        <v>164</v>
      </c>
      <c r="B37" s="34">
        <f t="shared" si="0"/>
        <v>7332</v>
      </c>
      <c r="C37" s="34">
        <f t="shared" si="1"/>
        <v>4979</v>
      </c>
      <c r="D37" s="34">
        <f t="shared" si="2"/>
        <v>6629</v>
      </c>
      <c r="E37" s="34">
        <f t="shared" si="3"/>
        <v>8345</v>
      </c>
      <c r="F37" s="34">
        <f t="shared" si="4"/>
        <v>5399</v>
      </c>
      <c r="G37" s="34">
        <f t="shared" si="5"/>
        <v>4902</v>
      </c>
      <c r="H37" s="34">
        <f t="shared" si="6"/>
        <v>7890</v>
      </c>
      <c r="I37" s="34">
        <f t="shared" si="7"/>
        <v>-702</v>
      </c>
      <c r="J37" s="34">
        <f t="shared" si="8"/>
        <v>795</v>
      </c>
      <c r="K37" s="34">
        <f t="shared" si="9"/>
        <v>2036</v>
      </c>
      <c r="L37" s="83">
        <f t="shared" si="10"/>
        <v>3007</v>
      </c>
      <c r="M37" s="83">
        <f t="shared" si="11"/>
        <v>12948</v>
      </c>
      <c r="N37" s="83">
        <v>-3370</v>
      </c>
      <c r="O37" s="83">
        <f>-6914</f>
        <v>-6914</v>
      </c>
      <c r="Q37" s="34">
        <v>2723</v>
      </c>
      <c r="R37" s="34">
        <v>4609</v>
      </c>
      <c r="S37" s="34">
        <v>2342</v>
      </c>
      <c r="T37" s="34">
        <v>2637</v>
      </c>
      <c r="U37" s="34">
        <v>3083</v>
      </c>
      <c r="V37" s="34">
        <v>3546</v>
      </c>
      <c r="W37" s="34">
        <v>927</v>
      </c>
      <c r="X37" s="34">
        <v>7418</v>
      </c>
      <c r="Y37" s="34">
        <v>2188</v>
      </c>
      <c r="Z37" s="34">
        <v>3211</v>
      </c>
      <c r="AA37" s="34">
        <v>1307</v>
      </c>
      <c r="AB37" s="34">
        <v>3595</v>
      </c>
      <c r="AC37" s="34">
        <v>2118</v>
      </c>
      <c r="AD37" s="34">
        <v>5772</v>
      </c>
      <c r="AE37" s="34">
        <v>-1982</v>
      </c>
      <c r="AF37" s="34">
        <v>1280</v>
      </c>
      <c r="AG37" s="34">
        <v>1142</v>
      </c>
      <c r="AH37" s="34">
        <v>-347</v>
      </c>
      <c r="AI37" s="34">
        <v>-1772</v>
      </c>
      <c r="AJ37" s="34">
        <v>3808</v>
      </c>
      <c r="AK37" s="83">
        <v>1295</v>
      </c>
      <c r="AL37" s="83">
        <v>1712</v>
      </c>
      <c r="AM37" s="83">
        <v>11663</v>
      </c>
      <c r="AN37" s="83">
        <v>1285</v>
      </c>
      <c r="AO37" s="83">
        <f>AO34-AO38</f>
        <v>-2119</v>
      </c>
      <c r="AP37" s="83">
        <f t="shared" si="12"/>
        <v>-1251</v>
      </c>
      <c r="AQ37" s="83">
        <f>AQ34-AQ38</f>
        <v>-1497</v>
      </c>
      <c r="AR37" s="83">
        <f>O37-AQ37</f>
        <v>-5417</v>
      </c>
      <c r="AS37" s="83">
        <f>AS34-AS38</f>
        <v>-8940</v>
      </c>
    </row>
    <row r="38" spans="1:45" x14ac:dyDescent="0.2">
      <c r="A38" s="6" t="s">
        <v>165</v>
      </c>
      <c r="B38" s="34">
        <f t="shared" si="0"/>
        <v>108</v>
      </c>
      <c r="C38" s="34">
        <f t="shared" si="1"/>
        <v>21</v>
      </c>
      <c r="D38" s="34">
        <f t="shared" si="2"/>
        <v>35</v>
      </c>
      <c r="E38" s="34">
        <f t="shared" si="3"/>
        <v>24</v>
      </c>
      <c r="F38" s="34">
        <f t="shared" si="4"/>
        <v>30</v>
      </c>
      <c r="G38" s="34">
        <f t="shared" si="5"/>
        <v>0</v>
      </c>
      <c r="H38" s="34">
        <f t="shared" si="6"/>
        <v>3</v>
      </c>
      <c r="I38" s="34">
        <f t="shared" si="7"/>
        <v>2</v>
      </c>
      <c r="J38" s="34">
        <f t="shared" si="8"/>
        <v>-609</v>
      </c>
      <c r="K38" s="34">
        <f t="shared" si="9"/>
        <v>0</v>
      </c>
      <c r="L38" s="34">
        <f t="shared" si="10"/>
        <v>0</v>
      </c>
      <c r="M38" s="34">
        <f t="shared" si="11"/>
        <v>53</v>
      </c>
      <c r="N38" s="34">
        <v>0</v>
      </c>
      <c r="O38" s="34">
        <f>0</f>
        <v>0</v>
      </c>
      <c r="Q38" s="34">
        <v>28</v>
      </c>
      <c r="R38" s="34">
        <v>80</v>
      </c>
      <c r="S38" s="34">
        <v>27</v>
      </c>
      <c r="T38" s="34">
        <v>-6</v>
      </c>
      <c r="U38" s="34">
        <v>15</v>
      </c>
      <c r="V38" s="34">
        <v>20</v>
      </c>
      <c r="W38" s="34">
        <v>0</v>
      </c>
      <c r="X38" s="34">
        <v>24</v>
      </c>
      <c r="Y38" s="34">
        <v>5</v>
      </c>
      <c r="Z38" s="34">
        <v>25</v>
      </c>
      <c r="AA38" s="34">
        <v>1</v>
      </c>
      <c r="AB38" s="34">
        <v>-1</v>
      </c>
      <c r="AC38" s="34">
        <v>4</v>
      </c>
      <c r="AD38" s="34">
        <v>-1</v>
      </c>
      <c r="AE38" s="34">
        <v>1</v>
      </c>
      <c r="AF38" s="34">
        <v>1</v>
      </c>
      <c r="AG38" s="34">
        <v>-583</v>
      </c>
      <c r="AH38" s="34">
        <v>-26</v>
      </c>
      <c r="AI38" s="34">
        <v>1</v>
      </c>
      <c r="AJ38" s="34">
        <v>-1</v>
      </c>
      <c r="AK38" s="34">
        <v>0</v>
      </c>
      <c r="AL38" s="34">
        <v>0</v>
      </c>
      <c r="AM38" s="34">
        <v>9</v>
      </c>
      <c r="AN38" s="34">
        <v>44</v>
      </c>
      <c r="AO38" s="34">
        <v>0</v>
      </c>
      <c r="AP38" s="34">
        <f t="shared" si="12"/>
        <v>0</v>
      </c>
      <c r="AQ38" s="34">
        <f>0</f>
        <v>0</v>
      </c>
      <c r="AR38" s="34">
        <f t="shared" ref="AR38" si="16">O38-AQ38</f>
        <v>0</v>
      </c>
      <c r="AS38" s="34">
        <f>0</f>
        <v>0</v>
      </c>
    </row>
    <row r="39" spans="1:45" x14ac:dyDescent="0.2">
      <c r="A39" s="38" t="s">
        <v>161</v>
      </c>
      <c r="B39" s="79">
        <f t="shared" si="0"/>
        <v>7440</v>
      </c>
      <c r="C39" s="79">
        <f t="shared" si="1"/>
        <v>5000</v>
      </c>
      <c r="D39" s="79">
        <f t="shared" si="2"/>
        <v>6664</v>
      </c>
      <c r="E39" s="79">
        <f t="shared" si="3"/>
        <v>8369</v>
      </c>
      <c r="F39" s="79">
        <f t="shared" si="4"/>
        <v>5429</v>
      </c>
      <c r="G39" s="79">
        <f t="shared" si="5"/>
        <v>4902</v>
      </c>
      <c r="H39" s="79">
        <f t="shared" si="6"/>
        <v>7893</v>
      </c>
      <c r="I39" s="79">
        <f t="shared" si="7"/>
        <v>-700</v>
      </c>
      <c r="J39" s="79">
        <f t="shared" si="8"/>
        <v>186</v>
      </c>
      <c r="K39" s="79">
        <f t="shared" si="9"/>
        <v>2036</v>
      </c>
      <c r="L39" s="79">
        <f t="shared" si="10"/>
        <v>3007</v>
      </c>
      <c r="M39" s="79">
        <f t="shared" si="11"/>
        <v>13001</v>
      </c>
      <c r="N39" s="79">
        <v>-3370</v>
      </c>
      <c r="O39" s="79">
        <f>-6914</f>
        <v>-6914</v>
      </c>
      <c r="P39" s="32"/>
      <c r="Q39" s="79">
        <v>2751</v>
      </c>
      <c r="R39" s="79">
        <v>4689</v>
      </c>
      <c r="S39" s="79">
        <v>2369</v>
      </c>
      <c r="T39" s="79">
        <v>2631</v>
      </c>
      <c r="U39" s="79">
        <v>3098</v>
      </c>
      <c r="V39" s="79">
        <v>3566</v>
      </c>
      <c r="W39" s="79">
        <v>927</v>
      </c>
      <c r="X39" s="79">
        <v>7442</v>
      </c>
      <c r="Y39" s="79">
        <v>2193</v>
      </c>
      <c r="Z39" s="79">
        <v>3236</v>
      </c>
      <c r="AA39" s="79">
        <v>1308</v>
      </c>
      <c r="AB39" s="79">
        <v>3594</v>
      </c>
      <c r="AC39" s="79">
        <v>2122</v>
      </c>
      <c r="AD39" s="79">
        <v>5771</v>
      </c>
      <c r="AE39" s="79">
        <v>-1981</v>
      </c>
      <c r="AF39" s="79">
        <v>1281</v>
      </c>
      <c r="AG39" s="79">
        <v>559</v>
      </c>
      <c r="AH39" s="79">
        <v>-373</v>
      </c>
      <c r="AI39" s="79">
        <v>-1771</v>
      </c>
      <c r="AJ39" s="79">
        <v>3807</v>
      </c>
      <c r="AK39" s="62">
        <v>1295</v>
      </c>
      <c r="AL39" s="62">
        <v>1712</v>
      </c>
      <c r="AM39" s="62">
        <f>SUM(AM37:AM38)</f>
        <v>11672</v>
      </c>
      <c r="AN39" s="62">
        <v>1329</v>
      </c>
      <c r="AO39" s="62">
        <f>SUM(AO37:AO38)</f>
        <v>-2119</v>
      </c>
      <c r="AP39" s="62">
        <f t="shared" si="12"/>
        <v>-1251</v>
      </c>
      <c r="AQ39" s="62">
        <f>SUM(AQ37:AQ38)</f>
        <v>-1497</v>
      </c>
      <c r="AR39" s="62">
        <f>O39-AQ39</f>
        <v>-5417</v>
      </c>
      <c r="AS39" s="62">
        <f>SUM(AS37:AS38)</f>
        <v>-8940</v>
      </c>
    </row>
    <row r="40" spans="1:45" x14ac:dyDescent="0.2">
      <c r="B40" s="34">
        <f t="shared" si="0"/>
        <v>0</v>
      </c>
      <c r="C40" s="34">
        <f t="shared" si="1"/>
        <v>0</v>
      </c>
      <c r="D40" s="34">
        <f t="shared" si="2"/>
        <v>0</v>
      </c>
      <c r="E40" s="34">
        <f t="shared" si="3"/>
        <v>0</v>
      </c>
      <c r="F40" s="34">
        <f t="shared" si="4"/>
        <v>0</v>
      </c>
      <c r="G40" s="34">
        <f t="shared" si="5"/>
        <v>0</v>
      </c>
      <c r="H40" s="34">
        <f t="shared" si="6"/>
        <v>0</v>
      </c>
      <c r="I40" s="34">
        <f t="shared" si="7"/>
        <v>0</v>
      </c>
      <c r="J40" s="34">
        <f t="shared" si="8"/>
        <v>0</v>
      </c>
      <c r="K40" s="34">
        <f t="shared" si="9"/>
        <v>0</v>
      </c>
      <c r="L40" s="34">
        <f t="shared" si="10"/>
        <v>0</v>
      </c>
      <c r="M40" s="34">
        <f t="shared" si="11"/>
        <v>0</v>
      </c>
      <c r="N40" s="34">
        <f ca="1">SUM(AO40:AP40)</f>
        <v>0</v>
      </c>
      <c r="O40" s="34">
        <f t="shared" ref="O40:O41" si="17">SUM(AQ40:AR40)</f>
        <v>0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L40" s="34"/>
      <c r="AM40" s="34"/>
      <c r="AN40" s="34"/>
      <c r="AO40" s="34"/>
      <c r="AP40" s="34">
        <f t="shared" ca="1" si="12"/>
        <v>0</v>
      </c>
      <c r="AQ40" s="34"/>
      <c r="AR40" s="34"/>
      <c r="AS40" s="34"/>
    </row>
    <row r="41" spans="1:45" x14ac:dyDescent="0.2">
      <c r="A41" s="42" t="s">
        <v>166</v>
      </c>
      <c r="B41" s="82">
        <f t="shared" si="0"/>
        <v>0</v>
      </c>
      <c r="C41" s="82">
        <f t="shared" si="1"/>
        <v>0</v>
      </c>
      <c r="D41" s="82">
        <f t="shared" si="2"/>
        <v>0</v>
      </c>
      <c r="E41" s="82">
        <f t="shared" si="3"/>
        <v>0</v>
      </c>
      <c r="F41" s="82">
        <f t="shared" si="4"/>
        <v>0</v>
      </c>
      <c r="G41" s="82">
        <f t="shared" si="5"/>
        <v>0</v>
      </c>
      <c r="H41" s="82">
        <f t="shared" si="6"/>
        <v>0</v>
      </c>
      <c r="I41" s="82">
        <f t="shared" si="7"/>
        <v>0</v>
      </c>
      <c r="J41" s="82">
        <f t="shared" si="8"/>
        <v>0</v>
      </c>
      <c r="K41" s="82">
        <f t="shared" si="9"/>
        <v>0</v>
      </c>
      <c r="L41" s="34">
        <f t="shared" si="10"/>
        <v>0</v>
      </c>
      <c r="M41" s="34">
        <f t="shared" si="11"/>
        <v>0</v>
      </c>
      <c r="N41" s="34">
        <f ca="1">SUM(AO41:AP41)</f>
        <v>0</v>
      </c>
      <c r="O41" s="34">
        <f t="shared" si="17"/>
        <v>0</v>
      </c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L41" s="34"/>
      <c r="AM41" s="34"/>
      <c r="AN41" s="34"/>
      <c r="AO41" s="34"/>
      <c r="AP41" s="34">
        <f t="shared" ca="1" si="12"/>
        <v>0</v>
      </c>
      <c r="AQ41" s="34"/>
      <c r="AR41" s="34"/>
      <c r="AS41" s="34"/>
    </row>
    <row r="42" spans="1:45" x14ac:dyDescent="0.2">
      <c r="A42" s="6" t="s">
        <v>164</v>
      </c>
      <c r="B42" s="34">
        <f t="shared" si="0"/>
        <v>7332</v>
      </c>
      <c r="C42" s="34">
        <f t="shared" si="1"/>
        <v>4979</v>
      </c>
      <c r="D42" s="34">
        <f t="shared" si="2"/>
        <v>6629</v>
      </c>
      <c r="E42" s="34">
        <f t="shared" si="3"/>
        <v>8345</v>
      </c>
      <c r="F42" s="34">
        <f t="shared" si="4"/>
        <v>5399</v>
      </c>
      <c r="G42" s="34">
        <f t="shared" si="5"/>
        <v>4902</v>
      </c>
      <c r="H42" s="34">
        <f t="shared" si="6"/>
        <v>7890</v>
      </c>
      <c r="I42" s="34">
        <f t="shared" si="7"/>
        <v>-702</v>
      </c>
      <c r="J42" s="34">
        <f t="shared" si="8"/>
        <v>795</v>
      </c>
      <c r="K42" s="34">
        <f t="shared" si="9"/>
        <v>2036</v>
      </c>
      <c r="L42" s="83">
        <f t="shared" si="10"/>
        <v>3007</v>
      </c>
      <c r="M42" s="83">
        <f t="shared" si="11"/>
        <v>12948</v>
      </c>
      <c r="N42" s="83">
        <v>-3370</v>
      </c>
      <c r="O42" s="83">
        <f>-6914</f>
        <v>-6914</v>
      </c>
      <c r="Q42" s="34">
        <v>2723</v>
      </c>
      <c r="R42" s="34">
        <v>4609</v>
      </c>
      <c r="S42" s="34">
        <v>2342</v>
      </c>
      <c r="T42" s="34">
        <v>2637</v>
      </c>
      <c r="U42" s="34">
        <v>3083</v>
      </c>
      <c r="V42" s="34">
        <v>3546</v>
      </c>
      <c r="W42" s="34">
        <v>927</v>
      </c>
      <c r="X42" s="34">
        <v>7418</v>
      </c>
      <c r="Y42" s="34">
        <v>2188</v>
      </c>
      <c r="Z42" s="34">
        <v>3211</v>
      </c>
      <c r="AA42" s="34">
        <v>1307</v>
      </c>
      <c r="AB42" s="34">
        <v>3595</v>
      </c>
      <c r="AC42" s="34">
        <v>2118</v>
      </c>
      <c r="AD42" s="34">
        <v>5772</v>
      </c>
      <c r="AE42" s="34">
        <v>-1982</v>
      </c>
      <c r="AF42" s="34">
        <v>1280</v>
      </c>
      <c r="AG42" s="34">
        <v>1142</v>
      </c>
      <c r="AH42" s="34">
        <v>-347</v>
      </c>
      <c r="AI42" s="34">
        <v>-1772</v>
      </c>
      <c r="AJ42" s="34">
        <v>3808</v>
      </c>
      <c r="AK42" s="83">
        <v>1295</v>
      </c>
      <c r="AL42" s="83">
        <v>1712</v>
      </c>
      <c r="AM42" s="83">
        <v>11663</v>
      </c>
      <c r="AN42" s="83">
        <v>1285</v>
      </c>
      <c r="AO42" s="83">
        <f>AO37</f>
        <v>-2119</v>
      </c>
      <c r="AP42" s="83">
        <f t="shared" si="12"/>
        <v>-1251</v>
      </c>
      <c r="AQ42" s="83">
        <f>AQ37</f>
        <v>-1497</v>
      </c>
      <c r="AR42" s="83">
        <f>O42-AQ42</f>
        <v>-5417</v>
      </c>
      <c r="AS42" s="83">
        <f>AS37</f>
        <v>-8940</v>
      </c>
    </row>
    <row r="43" spans="1:45" x14ac:dyDescent="0.2">
      <c r="A43" s="6" t="s">
        <v>165</v>
      </c>
      <c r="B43" s="34">
        <f t="shared" si="0"/>
        <v>108</v>
      </c>
      <c r="C43" s="34">
        <f t="shared" si="1"/>
        <v>21</v>
      </c>
      <c r="D43" s="34">
        <f t="shared" si="2"/>
        <v>35</v>
      </c>
      <c r="E43" s="34">
        <f t="shared" si="3"/>
        <v>24</v>
      </c>
      <c r="F43" s="34">
        <f t="shared" si="4"/>
        <v>30</v>
      </c>
      <c r="G43" s="34">
        <f t="shared" si="5"/>
        <v>0</v>
      </c>
      <c r="H43" s="34">
        <f t="shared" si="6"/>
        <v>3</v>
      </c>
      <c r="I43" s="34">
        <f t="shared" si="7"/>
        <v>2</v>
      </c>
      <c r="J43" s="34">
        <f t="shared" si="8"/>
        <v>-609</v>
      </c>
      <c r="K43" s="34">
        <f t="shared" si="9"/>
        <v>0</v>
      </c>
      <c r="L43" s="34">
        <f t="shared" si="10"/>
        <v>0</v>
      </c>
      <c r="M43" s="34">
        <f t="shared" si="11"/>
        <v>53</v>
      </c>
      <c r="N43" s="34">
        <v>0</v>
      </c>
      <c r="O43" s="34">
        <f>0</f>
        <v>0</v>
      </c>
      <c r="Q43" s="34">
        <v>28</v>
      </c>
      <c r="R43" s="34">
        <v>80</v>
      </c>
      <c r="S43" s="34">
        <v>27</v>
      </c>
      <c r="T43" s="34">
        <v>-6</v>
      </c>
      <c r="U43" s="34">
        <v>15</v>
      </c>
      <c r="V43" s="34">
        <v>20</v>
      </c>
      <c r="W43" s="34">
        <v>0</v>
      </c>
      <c r="X43" s="34">
        <v>24</v>
      </c>
      <c r="Y43" s="34">
        <v>5</v>
      </c>
      <c r="Z43" s="34">
        <v>25</v>
      </c>
      <c r="AA43" s="34">
        <v>1</v>
      </c>
      <c r="AB43" s="34">
        <v>-1</v>
      </c>
      <c r="AC43" s="34">
        <v>4</v>
      </c>
      <c r="AD43" s="34">
        <v>-1</v>
      </c>
      <c r="AE43" s="34">
        <v>1</v>
      </c>
      <c r="AF43" s="34">
        <v>1</v>
      </c>
      <c r="AG43" s="34">
        <v>-583</v>
      </c>
      <c r="AH43" s="34">
        <v>-26</v>
      </c>
      <c r="AI43" s="34">
        <v>1</v>
      </c>
      <c r="AJ43" s="34">
        <v>-1</v>
      </c>
      <c r="AK43" s="34">
        <v>0</v>
      </c>
      <c r="AL43" s="34">
        <v>0</v>
      </c>
      <c r="AM43" s="34">
        <v>9</v>
      </c>
      <c r="AN43" s="34">
        <v>44</v>
      </c>
      <c r="AO43" s="34">
        <v>0</v>
      </c>
      <c r="AP43" s="34">
        <f t="shared" si="12"/>
        <v>0</v>
      </c>
      <c r="AQ43" s="34">
        <v>0</v>
      </c>
      <c r="AR43" s="34">
        <f t="shared" ref="AR43" si="18">O43-AQ43</f>
        <v>0</v>
      </c>
      <c r="AS43" s="34">
        <v>0</v>
      </c>
    </row>
    <row r="44" spans="1:45" x14ac:dyDescent="0.2">
      <c r="A44" s="38" t="s">
        <v>162</v>
      </c>
      <c r="B44" s="79">
        <f t="shared" si="0"/>
        <v>7440</v>
      </c>
      <c r="C44" s="79">
        <f t="shared" si="1"/>
        <v>5000</v>
      </c>
      <c r="D44" s="79">
        <f t="shared" si="2"/>
        <v>6664</v>
      </c>
      <c r="E44" s="79">
        <f t="shared" si="3"/>
        <v>8369</v>
      </c>
      <c r="F44" s="79">
        <f t="shared" si="4"/>
        <v>5429</v>
      </c>
      <c r="G44" s="79">
        <f t="shared" si="5"/>
        <v>4902</v>
      </c>
      <c r="H44" s="79">
        <f t="shared" si="6"/>
        <v>7893</v>
      </c>
      <c r="I44" s="79">
        <f t="shared" si="7"/>
        <v>-700</v>
      </c>
      <c r="J44" s="79">
        <f t="shared" si="8"/>
        <v>186</v>
      </c>
      <c r="K44" s="79">
        <f t="shared" si="9"/>
        <v>2036</v>
      </c>
      <c r="L44" s="79">
        <f t="shared" si="10"/>
        <v>3007</v>
      </c>
      <c r="M44" s="79">
        <f t="shared" si="11"/>
        <v>13001</v>
      </c>
      <c r="N44" s="79">
        <v>-3370</v>
      </c>
      <c r="O44" s="79">
        <f>-6914</f>
        <v>-6914</v>
      </c>
      <c r="P44" s="32"/>
      <c r="Q44" s="79">
        <v>2751</v>
      </c>
      <c r="R44" s="79">
        <v>4689</v>
      </c>
      <c r="S44" s="79">
        <v>2369</v>
      </c>
      <c r="T44" s="79">
        <v>2631</v>
      </c>
      <c r="U44" s="79">
        <v>3098</v>
      </c>
      <c r="V44" s="79">
        <v>3566</v>
      </c>
      <c r="W44" s="79">
        <v>927</v>
      </c>
      <c r="X44" s="79">
        <v>7442</v>
      </c>
      <c r="Y44" s="79">
        <v>2193</v>
      </c>
      <c r="Z44" s="79">
        <v>3236</v>
      </c>
      <c r="AA44" s="79">
        <v>1308</v>
      </c>
      <c r="AB44" s="79">
        <v>3594</v>
      </c>
      <c r="AC44" s="79">
        <v>2122</v>
      </c>
      <c r="AD44" s="79">
        <v>5771</v>
      </c>
      <c r="AE44" s="79">
        <v>-1981</v>
      </c>
      <c r="AF44" s="79">
        <v>1281</v>
      </c>
      <c r="AG44" s="79">
        <v>559</v>
      </c>
      <c r="AH44" s="79">
        <v>-373</v>
      </c>
      <c r="AI44" s="79">
        <v>-1771</v>
      </c>
      <c r="AJ44" s="79">
        <v>3807</v>
      </c>
      <c r="AK44" s="62">
        <v>1295</v>
      </c>
      <c r="AL44" s="62">
        <v>1712</v>
      </c>
      <c r="AM44" s="62">
        <f>SUM(AM42:AM43)</f>
        <v>11672</v>
      </c>
      <c r="AN44" s="62">
        <v>1329</v>
      </c>
      <c r="AO44" s="62">
        <f>SUM(AO42:AO43)</f>
        <v>-2119</v>
      </c>
      <c r="AP44" s="62">
        <f t="shared" si="12"/>
        <v>-1251</v>
      </c>
      <c r="AQ44" s="62">
        <f>SUM(AQ42:AQ43)</f>
        <v>-1497</v>
      </c>
      <c r="AR44" s="62">
        <f>O44-AQ44</f>
        <v>-5417</v>
      </c>
      <c r="AS44" s="62">
        <f>SUM(AS42:AS43)</f>
        <v>-8940</v>
      </c>
    </row>
    <row r="45" spans="1:45" x14ac:dyDescent="0.2">
      <c r="A45" s="6"/>
      <c r="AB45" s="84"/>
      <c r="AQ45" s="6"/>
      <c r="AR45" s="6"/>
      <c r="AS45" s="6"/>
    </row>
    <row r="46" spans="1:45" x14ac:dyDescent="0.2">
      <c r="A46" s="6"/>
      <c r="AB46" s="84"/>
      <c r="AQ46" s="6"/>
      <c r="AR46" s="6"/>
      <c r="AS46" s="6"/>
    </row>
    <row r="47" spans="1:45" ht="18" x14ac:dyDescent="0.25">
      <c r="A47" s="54" t="s">
        <v>9</v>
      </c>
      <c r="AQ47" s="6"/>
      <c r="AR47" s="6"/>
      <c r="AS47" s="6"/>
    </row>
    <row r="48" spans="1:45" x14ac:dyDescent="0.2">
      <c r="A48" s="35" t="s">
        <v>1</v>
      </c>
      <c r="AQ48" s="6"/>
      <c r="AR48" s="6"/>
      <c r="AS48" s="6"/>
    </row>
    <row r="49" spans="1:45" x14ac:dyDescent="0.2">
      <c r="AQ49" s="6"/>
      <c r="AR49" s="6"/>
      <c r="AS49" s="6"/>
    </row>
    <row r="50" spans="1:45" x14ac:dyDescent="0.2">
      <c r="A50" s="43" t="s">
        <v>5</v>
      </c>
      <c r="B50" s="74">
        <v>2011</v>
      </c>
      <c r="C50" s="74">
        <v>2012</v>
      </c>
      <c r="D50" s="74">
        <v>2013</v>
      </c>
      <c r="E50" s="74">
        <v>2014</v>
      </c>
      <c r="F50" s="74">
        <v>2015</v>
      </c>
      <c r="G50" s="74">
        <v>2016</v>
      </c>
      <c r="H50" s="74">
        <v>2017</v>
      </c>
      <c r="I50" s="74">
        <v>2018</v>
      </c>
      <c r="J50" s="74">
        <v>2019</v>
      </c>
      <c r="K50" s="74">
        <v>2020</v>
      </c>
      <c r="L50" s="74">
        <v>2021</v>
      </c>
      <c r="M50" s="74">
        <v>2022</v>
      </c>
      <c r="N50" s="74">
        <v>2023</v>
      </c>
      <c r="O50" s="74">
        <v>2024</v>
      </c>
      <c r="Q50" s="91" t="s">
        <v>116</v>
      </c>
      <c r="R50" s="91" t="s">
        <v>117</v>
      </c>
      <c r="S50" s="91" t="s">
        <v>118</v>
      </c>
      <c r="T50" s="91" t="s">
        <v>119</v>
      </c>
      <c r="U50" s="91" t="s">
        <v>120</v>
      </c>
      <c r="V50" s="91" t="s">
        <v>121</v>
      </c>
      <c r="W50" s="91" t="s">
        <v>122</v>
      </c>
      <c r="X50" s="91" t="s">
        <v>123</v>
      </c>
      <c r="Y50" s="91" t="s">
        <v>124</v>
      </c>
      <c r="Z50" s="91" t="s">
        <v>125</v>
      </c>
      <c r="AA50" s="91" t="s">
        <v>126</v>
      </c>
      <c r="AB50" s="92" t="s">
        <v>127</v>
      </c>
      <c r="AC50" s="91" t="s">
        <v>128</v>
      </c>
      <c r="AD50" s="91" t="s">
        <v>129</v>
      </c>
      <c r="AE50" s="91" t="s">
        <v>130</v>
      </c>
      <c r="AF50" s="91" t="s">
        <v>131</v>
      </c>
      <c r="AG50" s="91" t="s">
        <v>132</v>
      </c>
      <c r="AH50" s="91" t="s">
        <v>133</v>
      </c>
      <c r="AI50" s="91" t="s">
        <v>134</v>
      </c>
      <c r="AJ50" s="91" t="s">
        <v>135</v>
      </c>
      <c r="AK50" s="91" t="s">
        <v>291</v>
      </c>
      <c r="AL50" s="91" t="s">
        <v>293</v>
      </c>
      <c r="AM50" s="91" t="s">
        <v>306</v>
      </c>
      <c r="AN50" s="91" t="s">
        <v>311</v>
      </c>
      <c r="AO50" s="91" t="str">
        <f>AO5</f>
        <v>1H 2023</v>
      </c>
      <c r="AP50" s="91" t="str">
        <f>AP5</f>
        <v>2H 2023</v>
      </c>
      <c r="AQ50" s="91" t="str">
        <f>AQ5</f>
        <v>1H 2024</v>
      </c>
      <c r="AR50" s="91" t="s">
        <v>429</v>
      </c>
      <c r="AS50" s="91" t="s">
        <v>482</v>
      </c>
    </row>
    <row r="51" spans="1:45" x14ac:dyDescent="0.2">
      <c r="A51" s="40" t="s">
        <v>147</v>
      </c>
      <c r="B51" s="78">
        <f>SUM(PL!Q51:R51)</f>
        <v>10853</v>
      </c>
      <c r="C51" s="78">
        <f>SUM(PL!S51:T51)</f>
        <v>9400</v>
      </c>
      <c r="D51" s="78">
        <f>SUM(PL!U51:V51)</f>
        <v>12368</v>
      </c>
      <c r="E51" s="78">
        <f>SUM(PL!W51:X51)</f>
        <v>15796</v>
      </c>
      <c r="F51" s="78">
        <f>SUM(PL!Y51:Z51)</f>
        <v>12999</v>
      </c>
      <c r="G51" s="78">
        <f>SUM(PL!AA51:AB51)</f>
        <v>12209</v>
      </c>
      <c r="H51" s="78">
        <f>SUM(PL!AC51:AD51)</f>
        <v>18001</v>
      </c>
      <c r="I51" s="78">
        <f>SUM(PL!AE51:AF51)</f>
        <v>17055</v>
      </c>
      <c r="J51" s="78">
        <f>SUM(PL!AG51:AH51)</f>
        <v>20057</v>
      </c>
      <c r="K51" s="78">
        <f>SUM(PL!AI51:AJ51)</f>
        <v>21915</v>
      </c>
      <c r="L51" s="78">
        <f>SUM(AK51:AL51)</f>
        <v>27782</v>
      </c>
      <c r="M51" s="78">
        <f>SUM(AM51:AN51)</f>
        <v>28203</v>
      </c>
      <c r="N51" s="78">
        <f>N17</f>
        <v>29971</v>
      </c>
      <c r="O51" s="78">
        <f>O17</f>
        <v>41378</v>
      </c>
      <c r="P51" s="40"/>
      <c r="Q51" s="78">
        <v>4659</v>
      </c>
      <c r="R51" s="78">
        <v>6194</v>
      </c>
      <c r="S51" s="78">
        <v>6194</v>
      </c>
      <c r="T51" s="78">
        <v>3206</v>
      </c>
      <c r="U51" s="78">
        <v>4360</v>
      </c>
      <c r="V51" s="78">
        <v>8008</v>
      </c>
      <c r="W51" s="78">
        <v>5040</v>
      </c>
      <c r="X51" s="78">
        <v>10756</v>
      </c>
      <c r="Y51" s="78">
        <v>5571</v>
      </c>
      <c r="Z51" s="78">
        <v>7428</v>
      </c>
      <c r="AA51" s="78">
        <v>6797</v>
      </c>
      <c r="AB51" s="86">
        <v>5412</v>
      </c>
      <c r="AC51" s="78">
        <v>3780</v>
      </c>
      <c r="AD51" s="78">
        <v>14221</v>
      </c>
      <c r="AE51" s="78">
        <v>12016</v>
      </c>
      <c r="AF51" s="78">
        <v>5039</v>
      </c>
      <c r="AG51" s="78">
        <v>7435</v>
      </c>
      <c r="AH51" s="78">
        <v>12622</v>
      </c>
      <c r="AI51" s="78">
        <v>4057</v>
      </c>
      <c r="AJ51" s="78">
        <v>17858</v>
      </c>
      <c r="AK51" s="78">
        <f>AK17</f>
        <v>13798</v>
      </c>
      <c r="AL51" s="78">
        <f>AL17</f>
        <v>13984</v>
      </c>
      <c r="AM51" s="78">
        <f>AM17</f>
        <v>9758</v>
      </c>
      <c r="AN51" s="78">
        <v>18445</v>
      </c>
      <c r="AO51" s="78">
        <f>AO17</f>
        <v>11246</v>
      </c>
      <c r="AP51" s="78">
        <f t="shared" ref="AP51:AP58" si="19">N51-AO51</f>
        <v>18725</v>
      </c>
      <c r="AQ51" s="78">
        <f>AQ17</f>
        <v>19568</v>
      </c>
      <c r="AR51" s="78">
        <f>O51-AQ51</f>
        <v>21810</v>
      </c>
      <c r="AS51" s="78">
        <f>20887</f>
        <v>20887</v>
      </c>
    </row>
    <row r="52" spans="1:45" x14ac:dyDescent="0.2">
      <c r="A52" s="6" t="s">
        <v>169</v>
      </c>
      <c r="B52" s="34">
        <f>SUM(PL!Q52:R52)</f>
        <v>-2328</v>
      </c>
      <c r="C52" s="34">
        <f>SUM(PL!S52:T52)</f>
        <v>-2324</v>
      </c>
      <c r="D52" s="34">
        <f>SUM(PL!U52:V52)</f>
        <v>-3157</v>
      </c>
      <c r="E52" s="34">
        <f>SUM(PL!W52:X52)</f>
        <v>-4178</v>
      </c>
      <c r="F52" s="34">
        <f>SUM(PL!Y52:Z52)</f>
        <v>-4348</v>
      </c>
      <c r="G52" s="34">
        <f>SUM(PL!AA52:AB52)</f>
        <v>-4454</v>
      </c>
      <c r="H52" s="34">
        <f>SUM(PL!AC52:AD52)</f>
        <v>-5052</v>
      </c>
      <c r="I52" s="34">
        <f>SUM(PL!AE52:AF52)</f>
        <v>-6922</v>
      </c>
      <c r="J52" s="34">
        <f>SUM(PL!AG52:AH52)</f>
        <v>-7280</v>
      </c>
      <c r="K52" s="34">
        <f>SUM(PL!AI52:AJ52)</f>
        <v>-5235</v>
      </c>
      <c r="L52" s="34">
        <f t="shared" ref="L52:L58" si="20">SUM(AK52:AL52)</f>
        <v>-5784</v>
      </c>
      <c r="M52" s="34">
        <f t="shared" ref="M52:M58" si="21">SUM(AM52:AN52)</f>
        <v>-7259</v>
      </c>
      <c r="N52" s="34">
        <f>N19</f>
        <v>-7475</v>
      </c>
      <c r="O52" s="34">
        <f>O19</f>
        <v>-8455</v>
      </c>
      <c r="Q52" s="34">
        <v>-1020</v>
      </c>
      <c r="R52" s="34">
        <v>-1308</v>
      </c>
      <c r="S52" s="34">
        <v>-1308</v>
      </c>
      <c r="T52" s="34">
        <v>-1016</v>
      </c>
      <c r="U52" s="34">
        <v>-1195</v>
      </c>
      <c r="V52" s="34">
        <v>-1962</v>
      </c>
      <c r="W52" s="34">
        <v>-1129</v>
      </c>
      <c r="X52" s="34">
        <v>-3049</v>
      </c>
      <c r="Y52" s="34">
        <v>-1387</v>
      </c>
      <c r="Z52" s="34">
        <v>-2961</v>
      </c>
      <c r="AA52" s="34">
        <v>-1770</v>
      </c>
      <c r="AB52" s="87">
        <v>-2684</v>
      </c>
      <c r="AC52" s="34">
        <v>-1957</v>
      </c>
      <c r="AD52" s="34">
        <v>-3095</v>
      </c>
      <c r="AE52" s="34">
        <v>-2221</v>
      </c>
      <c r="AF52" s="34">
        <v>-4701</v>
      </c>
      <c r="AG52" s="34">
        <v>-2327</v>
      </c>
      <c r="AH52" s="34">
        <v>-4953</v>
      </c>
      <c r="AI52" s="34">
        <v>-1958</v>
      </c>
      <c r="AJ52" s="34">
        <v>-3277</v>
      </c>
      <c r="AK52" s="34">
        <f t="shared" ref="AK52:AM53" si="22">AK19</f>
        <v>-2453</v>
      </c>
      <c r="AL52" s="34">
        <f t="shared" si="22"/>
        <v>-3331</v>
      </c>
      <c r="AM52" s="34">
        <f t="shared" si="22"/>
        <v>-2558</v>
      </c>
      <c r="AN52" s="34">
        <v>-4701</v>
      </c>
      <c r="AO52" s="34">
        <f>AO19</f>
        <v>-3243</v>
      </c>
      <c r="AP52" s="34">
        <f t="shared" si="19"/>
        <v>-4232</v>
      </c>
      <c r="AQ52" s="34">
        <f>AQ19</f>
        <v>-3702</v>
      </c>
      <c r="AR52" s="34">
        <f t="shared" ref="AR52:AR58" si="23">O52-AQ52</f>
        <v>-4753</v>
      </c>
      <c r="AS52" s="34">
        <f>-3498</f>
        <v>-3498</v>
      </c>
    </row>
    <row r="53" spans="1:45" x14ac:dyDescent="0.2">
      <c r="A53" s="6" t="s">
        <v>170</v>
      </c>
      <c r="B53" s="34">
        <f>SUM(PL!Q53:R53)</f>
        <v>-854</v>
      </c>
      <c r="C53" s="34">
        <f>SUM(PL!S53:T53)</f>
        <v>-958</v>
      </c>
      <c r="D53" s="34">
        <f>SUM(PL!U53:V53)</f>
        <v>-1023</v>
      </c>
      <c r="E53" s="34">
        <f>SUM(PL!W53:X53)</f>
        <v>-1474</v>
      </c>
      <c r="F53" s="34">
        <f>SUM(PL!Y53:Z53)</f>
        <v>-1411</v>
      </c>
      <c r="G53" s="34">
        <f>SUM(PL!AA53:AB53)</f>
        <v>-1984</v>
      </c>
      <c r="H53" s="34">
        <f>SUM(PL!AC53:AD53)</f>
        <v>-2930</v>
      </c>
      <c r="I53" s="34">
        <f>SUM(PL!AE53:AF53)</f>
        <v>-3318</v>
      </c>
      <c r="J53" s="34">
        <f>SUM(PL!AG53:AH53)</f>
        <v>-4822</v>
      </c>
      <c r="K53" s="34">
        <f>SUM(PL!AI53:AJ53)</f>
        <v>-4560</v>
      </c>
      <c r="L53" s="34">
        <f t="shared" si="20"/>
        <v>-4639</v>
      </c>
      <c r="M53" s="34">
        <f t="shared" si="21"/>
        <v>-5001</v>
      </c>
      <c r="N53" s="34">
        <f>N20</f>
        <v>-5158</v>
      </c>
      <c r="O53" s="34">
        <f>O20</f>
        <v>-6188</v>
      </c>
      <c r="Q53" s="34">
        <v>-336</v>
      </c>
      <c r="R53" s="34">
        <v>-518</v>
      </c>
      <c r="S53" s="34">
        <v>-518</v>
      </c>
      <c r="T53" s="34">
        <v>-440</v>
      </c>
      <c r="U53" s="34">
        <v>-389</v>
      </c>
      <c r="V53" s="34">
        <v>-634</v>
      </c>
      <c r="W53" s="34">
        <v>-569</v>
      </c>
      <c r="X53" s="34">
        <v>-905</v>
      </c>
      <c r="Y53" s="34">
        <v>-460</v>
      </c>
      <c r="Z53" s="34">
        <v>-951</v>
      </c>
      <c r="AA53" s="34">
        <v>-563</v>
      </c>
      <c r="AB53" s="87">
        <v>-1421</v>
      </c>
      <c r="AC53" s="34">
        <v>-577</v>
      </c>
      <c r="AD53" s="34">
        <v>-2353</v>
      </c>
      <c r="AE53" s="34">
        <v>-897</v>
      </c>
      <c r="AF53" s="34">
        <v>-2421</v>
      </c>
      <c r="AG53" s="34">
        <v>-792</v>
      </c>
      <c r="AH53" s="34">
        <v>-4030</v>
      </c>
      <c r="AI53" s="34">
        <v>-918</v>
      </c>
      <c r="AJ53" s="34">
        <v>-3642</v>
      </c>
      <c r="AK53" s="34">
        <f t="shared" si="22"/>
        <v>-1964</v>
      </c>
      <c r="AL53" s="34">
        <f t="shared" si="22"/>
        <v>-2675</v>
      </c>
      <c r="AM53" s="34">
        <f t="shared" si="22"/>
        <v>-1980</v>
      </c>
      <c r="AN53" s="34">
        <v>-3021</v>
      </c>
      <c r="AO53" s="34">
        <f>AO20</f>
        <v>-2364</v>
      </c>
      <c r="AP53" s="34">
        <f t="shared" si="19"/>
        <v>-2794</v>
      </c>
      <c r="AQ53" s="34">
        <f>AQ20</f>
        <v>-2965</v>
      </c>
      <c r="AR53" s="34">
        <f t="shared" si="23"/>
        <v>-3223</v>
      </c>
      <c r="AS53" s="34">
        <f>-3784</f>
        <v>-3784</v>
      </c>
    </row>
    <row r="54" spans="1:45" x14ac:dyDescent="0.2">
      <c r="A54" s="6" t="s">
        <v>171</v>
      </c>
      <c r="B54" s="34">
        <f>SUM(PL!Q54:R54)</f>
        <v>7671</v>
      </c>
      <c r="C54" s="34">
        <f>SUM(PL!S54:T54)</f>
        <v>6118</v>
      </c>
      <c r="D54" s="34">
        <f>SUM(PL!U54:V54)</f>
        <v>8188</v>
      </c>
      <c r="E54" s="34">
        <f>SUM(PL!W54:X54)</f>
        <v>10144</v>
      </c>
      <c r="F54" s="34">
        <f>SUM(PL!Y54:Z54)</f>
        <v>7240</v>
      </c>
      <c r="G54" s="34">
        <f>SUM(PL!AA54:AB54)</f>
        <v>5771</v>
      </c>
      <c r="H54" s="34">
        <f>SUM(PL!AC54:AD54)</f>
        <v>10019</v>
      </c>
      <c r="I54" s="34">
        <f>SUM(PL!AE54:AF54)</f>
        <v>6815</v>
      </c>
      <c r="J54" s="34">
        <f>SUM(PL!AG54:AH54)</f>
        <v>7955</v>
      </c>
      <c r="K54" s="34">
        <f>SUM(PL!AI54:AJ54)</f>
        <v>12120</v>
      </c>
      <c r="L54" s="34">
        <f t="shared" si="20"/>
        <v>17359</v>
      </c>
      <c r="M54" s="34">
        <f t="shared" si="21"/>
        <v>15943</v>
      </c>
      <c r="N54" s="34">
        <f>N51+N52+N53</f>
        <v>17338</v>
      </c>
      <c r="O54" s="34">
        <f>O51+O52+O53</f>
        <v>26735</v>
      </c>
      <c r="Q54" s="34">
        <v>3303</v>
      </c>
      <c r="R54" s="34">
        <v>4368</v>
      </c>
      <c r="S54" s="34">
        <v>4368</v>
      </c>
      <c r="T54" s="34">
        <v>1750</v>
      </c>
      <c r="U54" s="34">
        <v>2776</v>
      </c>
      <c r="V54" s="34">
        <v>5412</v>
      </c>
      <c r="W54" s="34">
        <v>3342</v>
      </c>
      <c r="X54" s="34">
        <v>6802</v>
      </c>
      <c r="Y54" s="34">
        <v>3724</v>
      </c>
      <c r="Z54" s="34">
        <v>3516</v>
      </c>
      <c r="AA54" s="34">
        <v>4464</v>
      </c>
      <c r="AB54" s="87">
        <v>1307</v>
      </c>
      <c r="AC54" s="34">
        <v>1246</v>
      </c>
      <c r="AD54" s="34">
        <v>8773</v>
      </c>
      <c r="AE54" s="34">
        <v>8898</v>
      </c>
      <c r="AF54" s="34">
        <v>-2083</v>
      </c>
      <c r="AG54" s="34">
        <v>4316</v>
      </c>
      <c r="AH54" s="34">
        <v>3639</v>
      </c>
      <c r="AI54" s="34">
        <v>1181</v>
      </c>
      <c r="AJ54" s="34">
        <v>10939</v>
      </c>
      <c r="AK54" s="34">
        <f>AK51+AK52+AK53</f>
        <v>9381</v>
      </c>
      <c r="AL54" s="34">
        <f>AL51+AL52+AL53</f>
        <v>7978</v>
      </c>
      <c r="AM54" s="34">
        <f>SUM(AM51:AM53)</f>
        <v>5220</v>
      </c>
      <c r="AN54" s="34">
        <v>10723</v>
      </c>
      <c r="AO54" s="34">
        <f>SUM(AO51:AO53)</f>
        <v>5639</v>
      </c>
      <c r="AP54" s="34">
        <f t="shared" si="19"/>
        <v>11699</v>
      </c>
      <c r="AQ54" s="34">
        <f>SUM(AQ51:AQ53)</f>
        <v>12901</v>
      </c>
      <c r="AR54" s="34">
        <f t="shared" si="23"/>
        <v>13834</v>
      </c>
      <c r="AS54" s="34">
        <f>SUM(AS51:AS53)</f>
        <v>13605</v>
      </c>
    </row>
    <row r="55" spans="1:45" x14ac:dyDescent="0.2">
      <c r="A55" s="6" t="s">
        <v>172</v>
      </c>
      <c r="B55" s="34">
        <f>SUM(PL!Q55:R55)</f>
        <v>265</v>
      </c>
      <c r="C55" s="34">
        <f>SUM(PL!S55:T55)</f>
        <v>417</v>
      </c>
      <c r="D55" s="34">
        <f>SUM(PL!U55:V55)</f>
        <v>343</v>
      </c>
      <c r="E55" s="34">
        <f>SUM(PL!W55:X55)</f>
        <v>417</v>
      </c>
      <c r="F55" s="34">
        <f>SUM(PL!Y55:Z55)</f>
        <v>406</v>
      </c>
      <c r="G55" s="34">
        <f>SUM(PL!AA55:AB55)</f>
        <v>434</v>
      </c>
      <c r="H55" s="34">
        <f>SUM(PL!AC55:AD55)</f>
        <v>340</v>
      </c>
      <c r="I55" s="34">
        <f>SUM(PL!AE55:AF55)</f>
        <v>365</v>
      </c>
      <c r="J55" s="34">
        <f>SUM(PL!AG55:AH55)</f>
        <v>542</v>
      </c>
      <c r="K55" s="34">
        <f>SUM(PL!AI55:AJ55)</f>
        <v>481</v>
      </c>
      <c r="L55" s="34">
        <f t="shared" si="20"/>
        <v>521</v>
      </c>
      <c r="M55" s="34">
        <f t="shared" si="21"/>
        <v>541</v>
      </c>
      <c r="N55" s="34">
        <v>797</v>
      </c>
      <c r="O55" s="34">
        <f>911</f>
        <v>911</v>
      </c>
      <c r="Q55" s="34">
        <v>128</v>
      </c>
      <c r="R55" s="34">
        <v>137</v>
      </c>
      <c r="S55" s="34">
        <v>209</v>
      </c>
      <c r="T55" s="34">
        <v>208</v>
      </c>
      <c r="U55" s="34">
        <v>168</v>
      </c>
      <c r="V55" s="34">
        <v>175</v>
      </c>
      <c r="W55" s="34">
        <v>204</v>
      </c>
      <c r="X55" s="34">
        <v>213</v>
      </c>
      <c r="Y55" s="34">
        <v>213</v>
      </c>
      <c r="Z55" s="34">
        <v>193</v>
      </c>
      <c r="AA55" s="34">
        <v>240</v>
      </c>
      <c r="AB55" s="87">
        <v>194</v>
      </c>
      <c r="AC55" s="34">
        <v>172</v>
      </c>
      <c r="AD55" s="34">
        <v>168</v>
      </c>
      <c r="AE55" s="34">
        <v>169</v>
      </c>
      <c r="AF55" s="34">
        <v>196</v>
      </c>
      <c r="AG55" s="34">
        <v>270</v>
      </c>
      <c r="AH55" s="34">
        <v>272</v>
      </c>
      <c r="AI55" s="34">
        <v>385</v>
      </c>
      <c r="AJ55" s="34">
        <v>96</v>
      </c>
      <c r="AK55" s="34">
        <f>CF!AK10</f>
        <v>233</v>
      </c>
      <c r="AL55" s="34">
        <v>288</v>
      </c>
      <c r="AM55" s="34">
        <v>273</v>
      </c>
      <c r="AN55" s="34">
        <v>268</v>
      </c>
      <c r="AO55" s="34">
        <f>403</f>
        <v>403</v>
      </c>
      <c r="AP55" s="34">
        <f t="shared" si="19"/>
        <v>394</v>
      </c>
      <c r="AQ55" s="34">
        <f>450</f>
        <v>450</v>
      </c>
      <c r="AR55" s="34">
        <f t="shared" si="23"/>
        <v>461</v>
      </c>
      <c r="AS55" s="34">
        <f>459</f>
        <v>459</v>
      </c>
    </row>
    <row r="56" spans="1:45" x14ac:dyDescent="0.2">
      <c r="A56" s="33" t="s">
        <v>9</v>
      </c>
      <c r="B56" s="62">
        <f>SUM(PL!Q56:R56)</f>
        <v>7936</v>
      </c>
      <c r="C56" s="62">
        <f>SUM(PL!S56:T56)</f>
        <v>6535</v>
      </c>
      <c r="D56" s="62">
        <f>SUM(PL!U56:V56)</f>
        <v>8531</v>
      </c>
      <c r="E56" s="62">
        <f>SUM(PL!W56:X56)</f>
        <v>10561</v>
      </c>
      <c r="F56" s="62">
        <f>SUM(PL!Y56:Z56)</f>
        <v>7646</v>
      </c>
      <c r="G56" s="62">
        <f>SUM(PL!AA56:AB56)</f>
        <v>6205</v>
      </c>
      <c r="H56" s="62">
        <f>SUM(PL!AC56:AD56)</f>
        <v>10359</v>
      </c>
      <c r="I56" s="62">
        <f>SUM(PL!AE56:AF56)</f>
        <v>7180</v>
      </c>
      <c r="J56" s="62">
        <f>SUM(PL!AG56:AH56)</f>
        <v>8497</v>
      </c>
      <c r="K56" s="62">
        <f>SUM(PL!AI56:AJ56)</f>
        <v>12601</v>
      </c>
      <c r="L56" s="62">
        <f t="shared" si="20"/>
        <v>17880</v>
      </c>
      <c r="M56" s="62">
        <f t="shared" si="21"/>
        <v>16484</v>
      </c>
      <c r="N56" s="62">
        <f>N54+N55</f>
        <v>18135</v>
      </c>
      <c r="O56" s="62">
        <f>O54+O55</f>
        <v>27646</v>
      </c>
      <c r="Q56" s="62">
        <v>3431</v>
      </c>
      <c r="R56" s="62">
        <v>4505</v>
      </c>
      <c r="S56" s="62">
        <v>4577</v>
      </c>
      <c r="T56" s="62">
        <v>1958</v>
      </c>
      <c r="U56" s="62">
        <v>2944</v>
      </c>
      <c r="V56" s="62">
        <v>5587</v>
      </c>
      <c r="W56" s="62">
        <v>3546</v>
      </c>
      <c r="X56" s="62">
        <v>7015</v>
      </c>
      <c r="Y56" s="62">
        <v>3937</v>
      </c>
      <c r="Z56" s="62">
        <v>3709</v>
      </c>
      <c r="AA56" s="62">
        <v>4704</v>
      </c>
      <c r="AB56" s="88">
        <v>1501</v>
      </c>
      <c r="AC56" s="62">
        <v>1418</v>
      </c>
      <c r="AD56" s="62">
        <v>8941</v>
      </c>
      <c r="AE56" s="62">
        <v>9067</v>
      </c>
      <c r="AF56" s="62">
        <v>-1887</v>
      </c>
      <c r="AG56" s="62">
        <v>4586</v>
      </c>
      <c r="AH56" s="62">
        <v>3911</v>
      </c>
      <c r="AI56" s="62">
        <v>1566</v>
      </c>
      <c r="AJ56" s="62">
        <v>11035</v>
      </c>
      <c r="AK56" s="80">
        <f>AK54+AK55</f>
        <v>9614</v>
      </c>
      <c r="AL56" s="80">
        <f>AL54+AL55</f>
        <v>8266</v>
      </c>
      <c r="AM56" s="80">
        <f>SUM(AM54:AM55)</f>
        <v>5493</v>
      </c>
      <c r="AN56" s="80">
        <v>10991</v>
      </c>
      <c r="AO56" s="80">
        <f>SUM(AO54:AO55)</f>
        <v>6042</v>
      </c>
      <c r="AP56" s="80">
        <f t="shared" si="19"/>
        <v>12093</v>
      </c>
      <c r="AQ56" s="80">
        <f>SUM(AQ54:AQ55)</f>
        <v>13351</v>
      </c>
      <c r="AR56" s="80">
        <f t="shared" si="23"/>
        <v>14295</v>
      </c>
      <c r="AS56" s="80">
        <f>SUM(AS54:AS55)</f>
        <v>14064</v>
      </c>
    </row>
    <row r="57" spans="1:45" x14ac:dyDescent="0.2">
      <c r="A57" s="6" t="s">
        <v>173</v>
      </c>
      <c r="B57" s="34">
        <f>SUM(PL!Q57:R57)</f>
        <v>0</v>
      </c>
      <c r="C57" s="34">
        <f>SUM(PL!S57:T57)</f>
        <v>0</v>
      </c>
      <c r="D57" s="34">
        <f>SUM(PL!U57:V57)</f>
        <v>0</v>
      </c>
      <c r="E57" s="34">
        <f>SUM(PL!W57:X57)</f>
        <v>0</v>
      </c>
      <c r="F57" s="34">
        <f>SUM(PL!Y57:Z57)</f>
        <v>0</v>
      </c>
      <c r="G57" s="34">
        <f>SUM(PL!AA57:AB57)</f>
        <v>0</v>
      </c>
      <c r="H57" s="34">
        <f>SUM(PL!AC57:AD57)</f>
        <v>0</v>
      </c>
      <c r="I57" s="34">
        <f>SUM(PL!AE57:AF57)</f>
        <v>0</v>
      </c>
      <c r="J57" s="34">
        <f>SUM(PL!AG57:AH57)</f>
        <v>2678</v>
      </c>
      <c r="K57" s="34">
        <f>SUM(PL!AI57:AJ57)</f>
        <v>3881</v>
      </c>
      <c r="L57" s="34">
        <f t="shared" si="20"/>
        <v>3259</v>
      </c>
      <c r="M57" s="34">
        <f t="shared" si="21"/>
        <v>2311</v>
      </c>
      <c r="N57" s="34">
        <v>1290</v>
      </c>
      <c r="O57" s="34">
        <f>1047</f>
        <v>1047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1014</v>
      </c>
      <c r="AH57" s="34">
        <v>1664</v>
      </c>
      <c r="AI57" s="34">
        <v>1412</v>
      </c>
      <c r="AJ57" s="34">
        <v>2469</v>
      </c>
      <c r="AK57" s="89">
        <v>1522</v>
      </c>
      <c r="AL57" s="89">
        <v>1737</v>
      </c>
      <c r="AM57" s="89">
        <v>751</v>
      </c>
      <c r="AN57" s="89">
        <v>1560</v>
      </c>
      <c r="AO57" s="89">
        <v>646</v>
      </c>
      <c r="AP57" s="89">
        <f t="shared" si="19"/>
        <v>644</v>
      </c>
      <c r="AQ57" s="89">
        <f>631</f>
        <v>631</v>
      </c>
      <c r="AR57" s="89">
        <f t="shared" si="23"/>
        <v>416</v>
      </c>
      <c r="AS57" s="89">
        <f>316</f>
        <v>316</v>
      </c>
    </row>
    <row r="58" spans="1:45" x14ac:dyDescent="0.2">
      <c r="A58" s="33" t="s">
        <v>168</v>
      </c>
      <c r="B58" s="62">
        <f>SUM(PL!Q58:R58)</f>
        <v>7936</v>
      </c>
      <c r="C58" s="62">
        <f>SUM(PL!S58:T58)</f>
        <v>6535</v>
      </c>
      <c r="D58" s="62">
        <f>SUM(PL!U58:V58)</f>
        <v>8531</v>
      </c>
      <c r="E58" s="62">
        <f>SUM(PL!W58:X58)</f>
        <v>10561</v>
      </c>
      <c r="F58" s="62">
        <f>SUM(PL!Y58:Z58)</f>
        <v>7646</v>
      </c>
      <c r="G58" s="62">
        <f>SUM(PL!AA58:AB58)</f>
        <v>6205</v>
      </c>
      <c r="H58" s="62">
        <f>SUM(PL!AC58:AD58)</f>
        <v>10359</v>
      </c>
      <c r="I58" s="62">
        <f>SUM(PL!AE58:AF58)</f>
        <v>7180</v>
      </c>
      <c r="J58" s="62">
        <f>SUM(PL!AG58:AH58)</f>
        <v>11175</v>
      </c>
      <c r="K58" s="62">
        <f>SUM(PL!AI58:AJ58)</f>
        <v>16482</v>
      </c>
      <c r="L58" s="62">
        <f t="shared" si="20"/>
        <v>21139</v>
      </c>
      <c r="M58" s="62">
        <f t="shared" si="21"/>
        <v>18795</v>
      </c>
      <c r="N58" s="62">
        <f>N56+N57</f>
        <v>19425</v>
      </c>
      <c r="O58" s="62">
        <f>O56+O57</f>
        <v>28693</v>
      </c>
      <c r="Q58" s="62">
        <v>3431</v>
      </c>
      <c r="R58" s="62">
        <v>4505</v>
      </c>
      <c r="S58" s="62">
        <v>4577</v>
      </c>
      <c r="T58" s="62">
        <v>1958</v>
      </c>
      <c r="U58" s="62">
        <v>2944</v>
      </c>
      <c r="V58" s="62">
        <v>5587</v>
      </c>
      <c r="W58" s="62">
        <v>3546</v>
      </c>
      <c r="X58" s="62">
        <v>7015</v>
      </c>
      <c r="Y58" s="62">
        <v>3937</v>
      </c>
      <c r="Z58" s="62">
        <v>3709</v>
      </c>
      <c r="AA58" s="62">
        <v>4704</v>
      </c>
      <c r="AB58" s="88">
        <v>1501</v>
      </c>
      <c r="AC58" s="62">
        <v>1418</v>
      </c>
      <c r="AD58" s="62">
        <v>8941</v>
      </c>
      <c r="AE58" s="62">
        <v>9067</v>
      </c>
      <c r="AF58" s="62">
        <v>-1887</v>
      </c>
      <c r="AG58" s="62">
        <v>5600</v>
      </c>
      <c r="AH58" s="62">
        <v>5575</v>
      </c>
      <c r="AI58" s="62">
        <v>2978</v>
      </c>
      <c r="AJ58" s="62">
        <v>13504</v>
      </c>
      <c r="AK58" s="80">
        <v>11136</v>
      </c>
      <c r="AL58" s="80">
        <v>10003</v>
      </c>
      <c r="AM58" s="80">
        <f>SUM(AM56:AM57)</f>
        <v>6244</v>
      </c>
      <c r="AN58" s="80">
        <v>12551</v>
      </c>
      <c r="AO58" s="80">
        <f>SUM(AO56:AO57)</f>
        <v>6688</v>
      </c>
      <c r="AP58" s="80">
        <f t="shared" si="19"/>
        <v>12737</v>
      </c>
      <c r="AQ58" s="80">
        <f>SUM(AQ56:AQ57)</f>
        <v>13982</v>
      </c>
      <c r="AR58" s="80">
        <f t="shared" si="23"/>
        <v>14711</v>
      </c>
      <c r="AS58" s="80">
        <f>SUM(AS56:AS57)</f>
        <v>14380</v>
      </c>
    </row>
    <row r="59" spans="1:45" x14ac:dyDescent="0.2">
      <c r="F59" s="78"/>
      <c r="K59" s="78"/>
    </row>
    <row r="61" spans="1:45" x14ac:dyDescent="0.2">
      <c r="H61" s="34"/>
    </row>
  </sheetData>
  <phoneticPr fontId="33" type="noConversion"/>
  <hyperlinks>
    <hyperlink ref="A3" location="Contents!A1" display="Back to Contents" xr:uid="{7F1490DE-722E-459F-8596-3C70C88FDE29}"/>
    <hyperlink ref="A48" location="Contents!A1" display="Back to Contents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D73"/>
  <sheetViews>
    <sheetView showGridLines="0" zoomScaleNormal="100" workbookViewId="0">
      <pane xSplit="1" topLeftCell="R1" activePane="topRight" state="frozen"/>
      <selection pane="topRight" activeCell="AD64" sqref="AD64"/>
    </sheetView>
  </sheetViews>
  <sheetFormatPr defaultColWidth="9.140625" defaultRowHeight="14.25" x14ac:dyDescent="0.2"/>
  <cols>
    <col min="1" max="1" width="71.140625" style="41" bestFit="1" customWidth="1"/>
    <col min="2" max="23" width="10.140625" style="6" bestFit="1" customWidth="1"/>
    <col min="24" max="24" width="10.7109375" style="6" bestFit="1" customWidth="1"/>
    <col min="25" max="25" width="10.140625" style="6" bestFit="1" customWidth="1"/>
    <col min="26" max="27" width="10.7109375" style="6" bestFit="1" customWidth="1"/>
    <col min="28" max="28" width="10.7109375" style="41" bestFit="1" customWidth="1"/>
    <col min="29" max="30" width="10.7109375" style="6" bestFit="1" customWidth="1"/>
    <col min="31" max="16384" width="9.140625" style="41"/>
  </cols>
  <sheetData>
    <row r="2" spans="1:30" ht="18" x14ac:dyDescent="0.25">
      <c r="A2" s="54" t="s">
        <v>174</v>
      </c>
    </row>
    <row r="3" spans="1:30" x14ac:dyDescent="0.2">
      <c r="A3" s="35" t="s">
        <v>1</v>
      </c>
    </row>
    <row r="5" spans="1:30" x14ac:dyDescent="0.2">
      <c r="A5" s="36" t="s">
        <v>5</v>
      </c>
      <c r="B5" s="93">
        <v>40724</v>
      </c>
      <c r="C5" s="93">
        <v>40908</v>
      </c>
      <c r="D5" s="93">
        <v>41090</v>
      </c>
      <c r="E5" s="93">
        <v>41274</v>
      </c>
      <c r="F5" s="93">
        <v>41455</v>
      </c>
      <c r="G5" s="93">
        <v>41639</v>
      </c>
      <c r="H5" s="93">
        <v>41820</v>
      </c>
      <c r="I5" s="93">
        <v>42004</v>
      </c>
      <c r="J5" s="93">
        <v>42185</v>
      </c>
      <c r="K5" s="93">
        <v>42369</v>
      </c>
      <c r="L5" s="93">
        <v>42551</v>
      </c>
      <c r="M5" s="93">
        <v>42735</v>
      </c>
      <c r="N5" s="93">
        <v>42916</v>
      </c>
      <c r="O5" s="93">
        <v>43100</v>
      </c>
      <c r="P5" s="93">
        <v>43281</v>
      </c>
      <c r="Q5" s="93">
        <v>43465</v>
      </c>
      <c r="R5" s="93">
        <v>43646</v>
      </c>
      <c r="S5" s="93">
        <v>43830</v>
      </c>
      <c r="T5" s="93">
        <v>44012</v>
      </c>
      <c r="U5" s="93">
        <v>44196</v>
      </c>
      <c r="V5" s="94">
        <v>44377</v>
      </c>
      <c r="W5" s="93">
        <v>44561</v>
      </c>
      <c r="X5" s="93" t="s">
        <v>305</v>
      </c>
      <c r="Y5" s="93">
        <v>44926</v>
      </c>
      <c r="Z5" s="93" t="s">
        <v>396</v>
      </c>
      <c r="AA5" s="93" t="s">
        <v>404</v>
      </c>
      <c r="AB5" s="93" t="s">
        <v>426</v>
      </c>
      <c r="AC5" s="93">
        <v>45657</v>
      </c>
      <c r="AD5" s="93" t="s">
        <v>483</v>
      </c>
    </row>
    <row r="6" spans="1:30" x14ac:dyDescent="0.2">
      <c r="A6" s="32" t="s">
        <v>175</v>
      </c>
    </row>
    <row r="7" spans="1:30" x14ac:dyDescent="0.2">
      <c r="A7" s="44" t="s">
        <v>176</v>
      </c>
    </row>
    <row r="8" spans="1:30" x14ac:dyDescent="0.2">
      <c r="A8" s="6" t="s">
        <v>177</v>
      </c>
      <c r="B8" s="34">
        <v>1696</v>
      </c>
      <c r="C8" s="34">
        <v>2009</v>
      </c>
      <c r="D8" s="34">
        <v>2152</v>
      </c>
      <c r="E8" s="34">
        <v>2380</v>
      </c>
      <c r="F8" s="34">
        <v>1853</v>
      </c>
      <c r="G8" s="34">
        <v>1962</v>
      </c>
      <c r="H8" s="34">
        <v>2326</v>
      </c>
      <c r="I8" s="34">
        <v>2503</v>
      </c>
      <c r="J8" s="34">
        <v>2349</v>
      </c>
      <c r="K8" s="34">
        <v>2479</v>
      </c>
      <c r="L8" s="34">
        <v>2433</v>
      </c>
      <c r="M8" s="34">
        <v>2889</v>
      </c>
      <c r="N8" s="34">
        <v>2927</v>
      </c>
      <c r="O8" s="34">
        <v>3085</v>
      </c>
      <c r="P8" s="34">
        <v>3162</v>
      </c>
      <c r="Q8" s="34">
        <v>3195</v>
      </c>
      <c r="R8" s="34">
        <v>3637</v>
      </c>
      <c r="S8" s="34">
        <v>3561</v>
      </c>
      <c r="T8" s="34">
        <v>3431</v>
      </c>
      <c r="U8" s="34">
        <v>3508</v>
      </c>
      <c r="V8" s="34">
        <v>3334</v>
      </c>
      <c r="W8" s="6">
        <v>4050</v>
      </c>
      <c r="X8" s="34">
        <v>4494</v>
      </c>
      <c r="Y8" s="34">
        <v>4531</v>
      </c>
      <c r="Z8" s="34">
        <v>4983</v>
      </c>
      <c r="AA8" s="34">
        <v>6184</v>
      </c>
      <c r="AB8" s="34">
        <f>6743</f>
        <v>6743</v>
      </c>
      <c r="AC8" s="34">
        <f>7259</f>
        <v>7259</v>
      </c>
      <c r="AD8" s="34">
        <f>7448</f>
        <v>7448</v>
      </c>
    </row>
    <row r="9" spans="1:30" x14ac:dyDescent="0.2">
      <c r="A9" s="6" t="s">
        <v>307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X9" s="34">
        <v>194</v>
      </c>
      <c r="Y9" s="34">
        <v>2652</v>
      </c>
      <c r="Z9" s="34">
        <v>2645</v>
      </c>
      <c r="AA9" s="34">
        <v>2956</v>
      </c>
      <c r="AB9" s="34">
        <f>6599</f>
        <v>6599</v>
      </c>
      <c r="AC9" s="34">
        <f>6714</f>
        <v>6714</v>
      </c>
      <c r="AD9" s="34">
        <f>8589</f>
        <v>8589</v>
      </c>
    </row>
    <row r="10" spans="1:30" x14ac:dyDescent="0.2">
      <c r="A10" s="6" t="s">
        <v>178</v>
      </c>
      <c r="B10" s="34"/>
      <c r="C10" s="34">
        <v>0</v>
      </c>
      <c r="D10" s="34">
        <v>0</v>
      </c>
      <c r="E10" s="34">
        <v>0</v>
      </c>
      <c r="F10" s="34">
        <v>638</v>
      </c>
      <c r="G10" s="34">
        <v>1142</v>
      </c>
      <c r="H10" s="34">
        <v>1052</v>
      </c>
      <c r="I10" s="34">
        <v>808</v>
      </c>
      <c r="J10" s="34">
        <v>618</v>
      </c>
      <c r="K10" s="34">
        <v>538</v>
      </c>
      <c r="L10" s="34">
        <v>482</v>
      </c>
      <c r="M10" s="34">
        <v>561</v>
      </c>
      <c r="N10" s="34">
        <v>354</v>
      </c>
      <c r="O10" s="34">
        <v>333</v>
      </c>
      <c r="P10" s="34">
        <v>316</v>
      </c>
      <c r="Q10" s="34">
        <v>306</v>
      </c>
      <c r="R10" s="34">
        <v>1123</v>
      </c>
      <c r="S10" s="34">
        <v>1065</v>
      </c>
      <c r="T10" s="34">
        <v>853</v>
      </c>
      <c r="U10" s="34">
        <v>691</v>
      </c>
      <c r="V10" s="34">
        <v>568</v>
      </c>
      <c r="W10" s="6">
        <v>416</v>
      </c>
      <c r="X10" s="34">
        <v>405</v>
      </c>
      <c r="Y10" s="34">
        <v>396</v>
      </c>
      <c r="Z10" s="34">
        <v>347</v>
      </c>
      <c r="AA10" s="34">
        <v>344</v>
      </c>
      <c r="AB10" s="34">
        <f>311</f>
        <v>311</v>
      </c>
      <c r="AC10" s="34">
        <f>154</f>
        <v>154</v>
      </c>
      <c r="AD10" s="34">
        <f>160</f>
        <v>160</v>
      </c>
    </row>
    <row r="11" spans="1:30" x14ac:dyDescent="0.2">
      <c r="A11" s="6" t="s">
        <v>179</v>
      </c>
      <c r="B11" s="34">
        <v>102</v>
      </c>
      <c r="C11" s="34">
        <v>88</v>
      </c>
      <c r="D11" s="34">
        <v>48</v>
      </c>
      <c r="E11" s="34">
        <v>60</v>
      </c>
      <c r="F11" s="34">
        <v>241</v>
      </c>
      <c r="G11" s="34">
        <v>275</v>
      </c>
      <c r="H11" s="34">
        <v>684</v>
      </c>
      <c r="I11" s="34">
        <v>1036</v>
      </c>
      <c r="J11" s="34">
        <v>684</v>
      </c>
      <c r="K11" s="34">
        <v>578</v>
      </c>
      <c r="L11" s="34">
        <v>556</v>
      </c>
      <c r="M11" s="34">
        <v>545</v>
      </c>
      <c r="N11" s="34">
        <v>630</v>
      </c>
      <c r="O11" s="34">
        <v>739</v>
      </c>
      <c r="P11" s="34">
        <v>722</v>
      </c>
      <c r="Q11" s="34">
        <v>758</v>
      </c>
      <c r="R11" s="34">
        <v>762</v>
      </c>
      <c r="S11" s="34">
        <v>190</v>
      </c>
      <c r="T11" s="34">
        <v>71</v>
      </c>
      <c r="U11" s="34">
        <v>424</v>
      </c>
      <c r="V11" s="34">
        <v>378</v>
      </c>
      <c r="W11" s="6">
        <v>1489</v>
      </c>
      <c r="X11" s="34">
        <v>795</v>
      </c>
      <c r="Y11" s="34">
        <v>583</v>
      </c>
      <c r="Z11" s="34">
        <v>592</v>
      </c>
      <c r="AA11" s="34">
        <v>13427</v>
      </c>
      <c r="AB11" s="34">
        <f>12393</f>
        <v>12393</v>
      </c>
      <c r="AC11" s="34">
        <f>7069</f>
        <v>7069</v>
      </c>
      <c r="AD11" s="34">
        <f>5581</f>
        <v>5581</v>
      </c>
    </row>
    <row r="12" spans="1:30" x14ac:dyDescent="0.2">
      <c r="A12" s="6" t="s">
        <v>180</v>
      </c>
      <c r="B12" s="34">
        <v>815</v>
      </c>
      <c r="C12" s="34">
        <v>551</v>
      </c>
      <c r="D12" s="34">
        <v>472</v>
      </c>
      <c r="E12" s="34">
        <v>433</v>
      </c>
      <c r="F12" s="34">
        <v>390</v>
      </c>
      <c r="G12" s="34">
        <v>1332</v>
      </c>
      <c r="H12" s="34">
        <v>756</v>
      </c>
      <c r="I12" s="34">
        <v>2521</v>
      </c>
      <c r="J12" s="34">
        <v>2164</v>
      </c>
      <c r="K12" s="34">
        <v>3303</v>
      </c>
      <c r="L12" s="34">
        <v>3801</v>
      </c>
      <c r="M12" s="34">
        <v>5063</v>
      </c>
      <c r="N12" s="34">
        <v>5633</v>
      </c>
      <c r="O12" s="34">
        <v>5867</v>
      </c>
      <c r="P12" s="34">
        <v>6539</v>
      </c>
      <c r="Q12" s="34">
        <v>5777</v>
      </c>
      <c r="R12" s="34">
        <v>5586</v>
      </c>
      <c r="S12" s="34">
        <v>4692</v>
      </c>
      <c r="T12" s="34">
        <v>4442</v>
      </c>
      <c r="U12" s="34">
        <v>4253</v>
      </c>
      <c r="V12" s="34">
        <v>3554</v>
      </c>
      <c r="W12" s="6">
        <v>3345</v>
      </c>
      <c r="X12" s="34">
        <v>2847</v>
      </c>
      <c r="Y12" s="34">
        <v>1569</v>
      </c>
      <c r="Z12" s="34">
        <v>882</v>
      </c>
      <c r="AA12" s="34">
        <v>1446</v>
      </c>
      <c r="AB12" s="34">
        <f>1738</f>
        <v>1738</v>
      </c>
      <c r="AC12" s="34">
        <f>3090</f>
        <v>3090</v>
      </c>
      <c r="AD12" s="34">
        <f>4668</f>
        <v>4668</v>
      </c>
    </row>
    <row r="13" spans="1:30" x14ac:dyDescent="0.2">
      <c r="A13" s="6" t="s">
        <v>181</v>
      </c>
      <c r="B13" s="34">
        <v>440</v>
      </c>
      <c r="C13" s="34">
        <v>679</v>
      </c>
      <c r="D13" s="34">
        <v>536</v>
      </c>
      <c r="E13" s="34">
        <v>434</v>
      </c>
      <c r="F13" s="34">
        <v>433</v>
      </c>
      <c r="G13" s="34">
        <v>560</v>
      </c>
      <c r="H13" s="34">
        <v>710</v>
      </c>
      <c r="I13" s="34">
        <v>885</v>
      </c>
      <c r="J13" s="34">
        <v>1040</v>
      </c>
      <c r="K13" s="34">
        <v>1159</v>
      </c>
      <c r="L13" s="34">
        <v>1412</v>
      </c>
      <c r="M13" s="34">
        <v>1414</v>
      </c>
      <c r="N13" s="34">
        <v>1617</v>
      </c>
      <c r="O13" s="34">
        <v>2173</v>
      </c>
      <c r="P13" s="34">
        <v>2731</v>
      </c>
      <c r="Q13" s="34">
        <v>2806</v>
      </c>
      <c r="R13" s="34">
        <v>3297</v>
      </c>
      <c r="S13" s="34">
        <v>3921</v>
      </c>
      <c r="T13" s="34">
        <v>5221</v>
      </c>
      <c r="U13" s="34">
        <v>6692</v>
      </c>
      <c r="V13" s="34">
        <v>7705</v>
      </c>
      <c r="W13" s="6">
        <v>7347</v>
      </c>
      <c r="X13" s="34">
        <v>9548</v>
      </c>
      <c r="Y13" s="34">
        <v>11373</v>
      </c>
      <c r="Z13" s="34">
        <v>11751</v>
      </c>
      <c r="AA13" s="34">
        <v>11298</v>
      </c>
      <c r="AB13" s="34">
        <f>13138</f>
        <v>13138</v>
      </c>
      <c r="AC13" s="34">
        <f>17670</f>
        <v>17670</v>
      </c>
      <c r="AD13" s="34">
        <f>22737</f>
        <v>22737</v>
      </c>
    </row>
    <row r="14" spans="1:30" x14ac:dyDescent="0.2">
      <c r="A14" s="6" t="s">
        <v>182</v>
      </c>
      <c r="B14" s="34">
        <v>5</v>
      </c>
      <c r="C14" s="34">
        <v>92</v>
      </c>
      <c r="D14" s="34">
        <v>10</v>
      </c>
      <c r="E14" s="34">
        <v>11</v>
      </c>
      <c r="F14" s="34">
        <v>10</v>
      </c>
      <c r="G14" s="34">
        <v>10</v>
      </c>
      <c r="H14" s="34">
        <v>10</v>
      </c>
      <c r="I14" s="34">
        <v>10</v>
      </c>
      <c r="J14" s="34">
        <v>10</v>
      </c>
      <c r="K14" s="34">
        <v>5</v>
      </c>
      <c r="L14" s="34">
        <v>2</v>
      </c>
      <c r="M14" s="34">
        <v>0</v>
      </c>
      <c r="N14" s="34"/>
      <c r="O14" s="34">
        <v>0</v>
      </c>
      <c r="P14" s="34"/>
      <c r="Q14" s="34">
        <v>0</v>
      </c>
      <c r="R14" s="34"/>
      <c r="S14" s="34">
        <v>0</v>
      </c>
      <c r="T14" s="34"/>
      <c r="U14" s="34">
        <v>0</v>
      </c>
      <c r="W14" s="34">
        <v>0</v>
      </c>
      <c r="X14" s="34">
        <v>0</v>
      </c>
      <c r="Y14" s="34"/>
      <c r="Z14" s="34">
        <v>0</v>
      </c>
      <c r="AA14" s="34">
        <v>0</v>
      </c>
      <c r="AB14" s="34">
        <f>0</f>
        <v>0</v>
      </c>
      <c r="AC14" s="34">
        <f>0</f>
        <v>0</v>
      </c>
      <c r="AD14" s="34">
        <f>0</f>
        <v>0</v>
      </c>
    </row>
    <row r="15" spans="1:30" x14ac:dyDescent="0.2">
      <c r="A15" s="37" t="s">
        <v>183</v>
      </c>
      <c r="B15" s="78">
        <v>3058</v>
      </c>
      <c r="C15" s="78">
        <v>3419</v>
      </c>
      <c r="D15" s="78">
        <v>3218</v>
      </c>
      <c r="E15" s="78">
        <v>3318</v>
      </c>
      <c r="F15" s="78">
        <v>3565</v>
      </c>
      <c r="G15" s="78">
        <v>5281</v>
      </c>
      <c r="H15" s="78">
        <v>5538</v>
      </c>
      <c r="I15" s="78">
        <v>7763</v>
      </c>
      <c r="J15" s="78">
        <v>6865</v>
      </c>
      <c r="K15" s="78">
        <v>8062</v>
      </c>
      <c r="L15" s="78">
        <v>8686</v>
      </c>
      <c r="M15" s="78">
        <v>10472</v>
      </c>
      <c r="N15" s="78">
        <v>11161</v>
      </c>
      <c r="O15" s="78">
        <v>12197</v>
      </c>
      <c r="P15" s="78">
        <v>13470</v>
      </c>
      <c r="Q15" s="78">
        <v>12842</v>
      </c>
      <c r="R15" s="78">
        <v>14405</v>
      </c>
      <c r="S15" s="78">
        <v>13429</v>
      </c>
      <c r="T15" s="78">
        <v>14018</v>
      </c>
      <c r="U15" s="78">
        <v>15568</v>
      </c>
      <c r="V15" s="78">
        <v>15539</v>
      </c>
      <c r="W15" s="40">
        <v>16647</v>
      </c>
      <c r="X15" s="78">
        <f>SUM(X8:X14)</f>
        <v>18283</v>
      </c>
      <c r="Y15" s="78">
        <v>21104</v>
      </c>
      <c r="Z15" s="78">
        <f>SUM(Z8:Z14)</f>
        <v>21200</v>
      </c>
      <c r="AA15" s="78">
        <f>SUM(AA8:AA14)</f>
        <v>35655</v>
      </c>
      <c r="AB15" s="78">
        <f>SUM(AB8:AB14)</f>
        <v>40922</v>
      </c>
      <c r="AC15" s="78">
        <f>SUM(AC8:AC14)</f>
        <v>41956</v>
      </c>
      <c r="AD15" s="78">
        <f>SUM(AD8:AD14)</f>
        <v>49183</v>
      </c>
    </row>
    <row r="16" spans="1:30" x14ac:dyDescent="0.2">
      <c r="A16" s="37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AB16" s="6"/>
    </row>
    <row r="17" spans="1:30" x14ac:dyDescent="0.2">
      <c r="A17" s="44" t="s">
        <v>184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AB17" s="6"/>
    </row>
    <row r="18" spans="1:30" x14ac:dyDescent="0.2">
      <c r="A18" s="40" t="s">
        <v>185</v>
      </c>
      <c r="B18" s="78">
        <v>27867</v>
      </c>
      <c r="C18" s="78">
        <v>32047</v>
      </c>
      <c r="D18" s="78">
        <v>34613</v>
      </c>
      <c r="E18" s="78">
        <v>41522</v>
      </c>
      <c r="F18" s="78">
        <v>44056</v>
      </c>
      <c r="G18" s="78">
        <v>50057</v>
      </c>
      <c r="H18" s="78">
        <v>57132</v>
      </c>
      <c r="I18" s="78">
        <v>57525</v>
      </c>
      <c r="J18" s="78">
        <v>61131</v>
      </c>
      <c r="K18" s="78">
        <v>67722</v>
      </c>
      <c r="L18" s="78">
        <v>69237</v>
      </c>
      <c r="M18" s="78">
        <v>71261</v>
      </c>
      <c r="N18" s="78">
        <v>77924</v>
      </c>
      <c r="O18" s="78">
        <v>78122</v>
      </c>
      <c r="P18" s="78">
        <v>81863</v>
      </c>
      <c r="Q18" s="78">
        <v>67694</v>
      </c>
      <c r="R18" s="78">
        <v>106579</v>
      </c>
      <c r="S18" s="78">
        <v>100689</v>
      </c>
      <c r="T18" s="78">
        <v>97357</v>
      </c>
      <c r="U18" s="78">
        <v>115445</v>
      </c>
      <c r="V18" s="78">
        <f>SUM(V19:V22)</f>
        <v>110489</v>
      </c>
      <c r="W18" s="78">
        <v>110153</v>
      </c>
      <c r="X18" s="78">
        <f>SUM(X19:X21)</f>
        <v>139852</v>
      </c>
      <c r="Y18" s="78">
        <v>142519</v>
      </c>
      <c r="Z18" s="78">
        <f>SUM(Z19:Z21)</f>
        <v>153875</v>
      </c>
      <c r="AA18" s="78">
        <f>SUM(AA19:AA22)</f>
        <v>152035</v>
      </c>
      <c r="AB18" s="78">
        <f>SUM(AB19:AB22)</f>
        <v>142139</v>
      </c>
      <c r="AC18" s="78">
        <f>SUM(AC19:AC22)</f>
        <v>158365</v>
      </c>
      <c r="AD18" s="78">
        <f>SUM(AD19:AD22)</f>
        <v>152307</v>
      </c>
    </row>
    <row r="19" spans="1:30" x14ac:dyDescent="0.2">
      <c r="A19" s="63" t="s">
        <v>186</v>
      </c>
      <c r="B19" s="34">
        <v>18892</v>
      </c>
      <c r="C19" s="34">
        <v>14610</v>
      </c>
      <c r="D19" s="34">
        <v>24435</v>
      </c>
      <c r="E19" s="34">
        <v>26612</v>
      </c>
      <c r="F19" s="34">
        <v>34148</v>
      </c>
      <c r="G19" s="34">
        <v>31554</v>
      </c>
      <c r="H19" s="34">
        <v>39669</v>
      </c>
      <c r="I19" s="34">
        <v>35239</v>
      </c>
      <c r="J19" s="34">
        <v>41551</v>
      </c>
      <c r="K19" s="34">
        <v>41335</v>
      </c>
      <c r="L19" s="34">
        <v>43996</v>
      </c>
      <c r="M19" s="34">
        <v>48720</v>
      </c>
      <c r="N19" s="34">
        <v>56504</v>
      </c>
      <c r="O19" s="34">
        <v>57179</v>
      </c>
      <c r="P19" s="34">
        <v>67288</v>
      </c>
      <c r="Q19" s="34">
        <v>52105</v>
      </c>
      <c r="R19" s="34">
        <v>91670</v>
      </c>
      <c r="S19" s="34">
        <v>87631</v>
      </c>
      <c r="T19" s="34">
        <v>83782</v>
      </c>
      <c r="U19" s="34">
        <v>104877</v>
      </c>
      <c r="V19" s="34">
        <v>99402</v>
      </c>
      <c r="W19" s="34">
        <v>99266</v>
      </c>
      <c r="X19" s="34">
        <v>111582</v>
      </c>
      <c r="Y19" s="34">
        <v>123522</v>
      </c>
      <c r="Z19" s="34">
        <v>121722</v>
      </c>
      <c r="AA19" s="34">
        <v>119038</v>
      </c>
      <c r="AB19" s="34">
        <f>116646</f>
        <v>116646</v>
      </c>
      <c r="AC19" s="34">
        <f>135001</f>
        <v>135001</v>
      </c>
      <c r="AD19" s="34">
        <f>136010</f>
        <v>136010</v>
      </c>
    </row>
    <row r="20" spans="1:30" x14ac:dyDescent="0.2">
      <c r="A20" s="63" t="s">
        <v>187</v>
      </c>
      <c r="B20" s="34">
        <v>9069</v>
      </c>
      <c r="C20" s="34">
        <v>10328</v>
      </c>
      <c r="D20" s="34">
        <v>9758</v>
      </c>
      <c r="E20" s="34">
        <v>11605</v>
      </c>
      <c r="F20" s="34">
        <v>8992</v>
      </c>
      <c r="G20" s="34">
        <v>16086</v>
      </c>
      <c r="H20" s="34">
        <v>16664</v>
      </c>
      <c r="I20" s="34">
        <v>19797</v>
      </c>
      <c r="J20" s="34">
        <v>19269</v>
      </c>
      <c r="K20" s="34">
        <v>26701</v>
      </c>
      <c r="L20" s="34">
        <v>25712</v>
      </c>
      <c r="M20" s="34">
        <v>23006</v>
      </c>
      <c r="N20" s="34">
        <v>21984</v>
      </c>
      <c r="O20" s="34">
        <v>21873</v>
      </c>
      <c r="P20" s="34">
        <v>16254</v>
      </c>
      <c r="Q20" s="34">
        <v>16141</v>
      </c>
      <c r="R20" s="34">
        <v>16218</v>
      </c>
      <c r="S20" s="34">
        <v>15215</v>
      </c>
      <c r="T20" s="34">
        <v>16008</v>
      </c>
      <c r="U20" s="34">
        <v>13103</v>
      </c>
      <c r="V20" s="34">
        <v>14938</v>
      </c>
      <c r="W20" s="34">
        <v>16544</v>
      </c>
      <c r="X20" s="34">
        <v>22333</v>
      </c>
      <c r="Y20" s="34">
        <v>20526</v>
      </c>
      <c r="Z20" s="34">
        <v>25005</v>
      </c>
      <c r="AA20" s="34">
        <v>31718</v>
      </c>
      <c r="AB20" s="34">
        <f>24635</f>
        <v>24635</v>
      </c>
      <c r="AC20" s="34">
        <f>22169</f>
        <v>22169</v>
      </c>
      <c r="AD20" s="34">
        <f>12489</f>
        <v>12489</v>
      </c>
    </row>
    <row r="21" spans="1:30" x14ac:dyDescent="0.2">
      <c r="A21" s="63" t="s">
        <v>188</v>
      </c>
      <c r="B21" s="34">
        <v>565</v>
      </c>
      <c r="C21" s="34">
        <v>7252</v>
      </c>
      <c r="D21" s="34">
        <v>562</v>
      </c>
      <c r="E21" s="34">
        <v>3609</v>
      </c>
      <c r="F21" s="34">
        <v>922</v>
      </c>
      <c r="G21" s="34">
        <v>2423</v>
      </c>
      <c r="H21" s="34">
        <v>890</v>
      </c>
      <c r="I21" s="34">
        <v>2961</v>
      </c>
      <c r="J21" s="34">
        <v>813</v>
      </c>
      <c r="K21" s="34">
        <v>672</v>
      </c>
      <c r="L21" s="34">
        <v>805</v>
      </c>
      <c r="M21" s="34">
        <v>951</v>
      </c>
      <c r="N21" s="34">
        <v>1164</v>
      </c>
      <c r="O21" s="34">
        <v>1226</v>
      </c>
      <c r="P21" s="34">
        <v>2041</v>
      </c>
      <c r="Q21" s="34">
        <v>2017</v>
      </c>
      <c r="R21" s="34">
        <v>1739</v>
      </c>
      <c r="S21" s="34">
        <v>1699</v>
      </c>
      <c r="T21" s="34">
        <v>1742</v>
      </c>
      <c r="U21" s="34">
        <v>1997</v>
      </c>
      <c r="V21" s="34">
        <v>2484</v>
      </c>
      <c r="W21" s="34">
        <v>1701</v>
      </c>
      <c r="X21" s="34">
        <v>5937</v>
      </c>
      <c r="Y21" s="34">
        <v>6050</v>
      </c>
      <c r="Z21" s="34">
        <v>7148</v>
      </c>
      <c r="AA21" s="34">
        <v>8402</v>
      </c>
      <c r="AB21" s="34">
        <f>9355</f>
        <v>9355</v>
      </c>
      <c r="AC21" s="34">
        <f>9181</f>
        <v>9181</v>
      </c>
      <c r="AD21" s="34">
        <f>9385</f>
        <v>9385</v>
      </c>
    </row>
    <row r="22" spans="1:30" x14ac:dyDescent="0.2">
      <c r="A22" s="63" t="s">
        <v>189</v>
      </c>
      <c r="B22" s="34">
        <v>-659</v>
      </c>
      <c r="C22" s="34">
        <v>-143</v>
      </c>
      <c r="D22" s="34">
        <v>-142</v>
      </c>
      <c r="E22" s="34">
        <v>-304</v>
      </c>
      <c r="F22" s="34">
        <v>-6</v>
      </c>
      <c r="G22" s="34">
        <v>-6</v>
      </c>
      <c r="H22" s="34">
        <v>-91</v>
      </c>
      <c r="I22" s="34">
        <v>-472</v>
      </c>
      <c r="J22" s="34">
        <v>-502</v>
      </c>
      <c r="K22" s="34">
        <v>-986</v>
      </c>
      <c r="L22" s="34">
        <v>-1276</v>
      </c>
      <c r="M22" s="34">
        <v>-1416</v>
      </c>
      <c r="N22" s="34">
        <v>-1728</v>
      </c>
      <c r="O22" s="34">
        <v>-2156</v>
      </c>
      <c r="P22" s="34">
        <v>-3720</v>
      </c>
      <c r="Q22" s="34">
        <v>-2569</v>
      </c>
      <c r="R22" s="34">
        <v>-3048</v>
      </c>
      <c r="S22" s="34">
        <v>-3856</v>
      </c>
      <c r="T22" s="34">
        <v>-4175</v>
      </c>
      <c r="U22" s="34">
        <v>-4532</v>
      </c>
      <c r="V22" s="34">
        <f>-(4412+1902+21)</f>
        <v>-6335</v>
      </c>
      <c r="W22" s="34">
        <v>-7358</v>
      </c>
      <c r="X22" s="34">
        <v>-5745</v>
      </c>
      <c r="Y22" s="34">
        <f>-3922-3654-3</f>
        <v>-7579</v>
      </c>
      <c r="Z22" s="34">
        <f>-3721-3980</f>
        <v>-7701</v>
      </c>
      <c r="AA22" s="34">
        <f>-1928-5193-2</f>
        <v>-7123</v>
      </c>
      <c r="AB22" s="34">
        <f>-2717-5778-2</f>
        <v>-8497</v>
      </c>
      <c r="AC22" s="34">
        <f>-7986</f>
        <v>-7986</v>
      </c>
      <c r="AD22" s="34">
        <f>-5577</f>
        <v>-5577</v>
      </c>
    </row>
    <row r="23" spans="1:30" x14ac:dyDescent="0.2">
      <c r="A23" s="40" t="s">
        <v>190</v>
      </c>
      <c r="B23" s="78">
        <v>4971</v>
      </c>
      <c r="C23" s="78">
        <v>7473</v>
      </c>
      <c r="D23" s="78">
        <v>8200</v>
      </c>
      <c r="E23" s="78">
        <v>11058</v>
      </c>
      <c r="F23" s="78">
        <v>14387</v>
      </c>
      <c r="G23" s="78">
        <v>15078</v>
      </c>
      <c r="H23" s="78">
        <v>17746</v>
      </c>
      <c r="I23" s="78">
        <v>15074</v>
      </c>
      <c r="J23" s="78">
        <v>15926</v>
      </c>
      <c r="K23" s="78">
        <v>18234</v>
      </c>
      <c r="L23" s="78">
        <v>20340</v>
      </c>
      <c r="M23" s="78">
        <v>21409</v>
      </c>
      <c r="N23" s="78">
        <v>26468</v>
      </c>
      <c r="O23" s="78">
        <v>30184</v>
      </c>
      <c r="P23" s="78">
        <v>23728</v>
      </c>
      <c r="Q23" s="78">
        <v>20408</v>
      </c>
      <c r="R23" s="78">
        <v>25451</v>
      </c>
      <c r="S23" s="78">
        <v>25143</v>
      </c>
      <c r="T23" s="78">
        <v>24775</v>
      </c>
      <c r="U23" s="78">
        <v>28624</v>
      </c>
      <c r="V23" s="78">
        <f>SUM(V24:V28)</f>
        <v>36412</v>
      </c>
      <c r="W23" s="78">
        <v>49693</v>
      </c>
      <c r="X23" s="78">
        <f>SUM(X24:X28)</f>
        <v>61739</v>
      </c>
      <c r="Y23" s="78">
        <v>55561</v>
      </c>
      <c r="Z23" s="78">
        <f>SUM(Z24:Z28)</f>
        <v>44890</v>
      </c>
      <c r="AA23" s="78">
        <f>SUM(AA24:AA28)</f>
        <v>61278</v>
      </c>
      <c r="AB23" s="78">
        <f>SUM(AB24:AB28)</f>
        <v>81460</v>
      </c>
      <c r="AC23" s="78">
        <f>SUM(AC24:AC28)</f>
        <v>113156</v>
      </c>
      <c r="AD23" s="78">
        <f>SUM(AD24:AD28)</f>
        <v>135877</v>
      </c>
    </row>
    <row r="24" spans="1:30" x14ac:dyDescent="0.2">
      <c r="A24" s="63" t="s">
        <v>191</v>
      </c>
      <c r="B24" s="34">
        <v>2622</v>
      </c>
      <c r="C24" s="34">
        <v>3549</v>
      </c>
      <c r="D24" s="34">
        <v>3640</v>
      </c>
      <c r="E24" s="34">
        <v>5759</v>
      </c>
      <c r="F24" s="34">
        <v>7399</v>
      </c>
      <c r="G24" s="34">
        <v>5589</v>
      </c>
      <c r="H24" s="34">
        <v>6660</v>
      </c>
      <c r="I24" s="34">
        <v>6920</v>
      </c>
      <c r="J24" s="34">
        <v>7461</v>
      </c>
      <c r="K24" s="34">
        <v>8444</v>
      </c>
      <c r="L24" s="34">
        <v>9185</v>
      </c>
      <c r="M24" s="34">
        <v>10058</v>
      </c>
      <c r="N24" s="34">
        <v>12396</v>
      </c>
      <c r="O24" s="34">
        <v>10894</v>
      </c>
      <c r="P24" s="34">
        <v>9620</v>
      </c>
      <c r="Q24" s="34">
        <v>8075</v>
      </c>
      <c r="R24" s="34">
        <v>10384</v>
      </c>
      <c r="S24" s="34">
        <v>9988</v>
      </c>
      <c r="T24" s="34">
        <v>9489</v>
      </c>
      <c r="U24" s="34">
        <v>8384</v>
      </c>
      <c r="V24" s="34">
        <v>10779</v>
      </c>
      <c r="W24" s="34">
        <v>11015</v>
      </c>
      <c r="X24" s="34">
        <v>12928</v>
      </c>
      <c r="Y24" s="34">
        <v>12613</v>
      </c>
      <c r="Z24" s="34">
        <v>12850</v>
      </c>
      <c r="AA24" s="34">
        <v>11328</v>
      </c>
      <c r="AB24" s="34">
        <f>13358</f>
        <v>13358</v>
      </c>
      <c r="AC24" s="34">
        <f>16222</f>
        <v>16222</v>
      </c>
      <c r="AD24" s="34">
        <f>13302</f>
        <v>13302</v>
      </c>
    </row>
    <row r="25" spans="1:30" x14ac:dyDescent="0.2">
      <c r="A25" s="63" t="s">
        <v>192</v>
      </c>
      <c r="B25" s="34"/>
      <c r="C25" s="34">
        <v>0</v>
      </c>
      <c r="D25" s="34"/>
      <c r="E25" s="34">
        <v>0</v>
      </c>
      <c r="F25" s="34"/>
      <c r="G25" s="34">
        <v>0</v>
      </c>
      <c r="H25" s="34"/>
      <c r="I25" s="34">
        <v>0</v>
      </c>
      <c r="J25" s="34"/>
      <c r="K25" s="34">
        <v>0</v>
      </c>
      <c r="L25" s="34"/>
      <c r="M25" s="34">
        <v>0</v>
      </c>
      <c r="N25" s="34"/>
      <c r="O25" s="34">
        <v>1187</v>
      </c>
      <c r="P25" s="34">
        <v>164</v>
      </c>
      <c r="Q25" s="34">
        <v>1244</v>
      </c>
      <c r="R25" s="34">
        <v>1577</v>
      </c>
      <c r="S25" s="34">
        <v>2463</v>
      </c>
      <c r="T25" s="34">
        <v>3976</v>
      </c>
      <c r="U25" s="34">
        <v>7138</v>
      </c>
      <c r="V25" s="34">
        <v>12375</v>
      </c>
      <c r="W25" s="34">
        <v>25332</v>
      </c>
      <c r="X25" s="34">
        <v>32772</v>
      </c>
      <c r="Y25" s="34">
        <v>28733</v>
      </c>
      <c r="Z25" s="34">
        <v>17822</v>
      </c>
      <c r="AA25" s="34">
        <v>31252</v>
      </c>
      <c r="AB25" s="34">
        <f>43023</f>
        <v>43023</v>
      </c>
      <c r="AC25" s="34">
        <f>72276</f>
        <v>72276</v>
      </c>
      <c r="AD25" s="34">
        <f>94317</f>
        <v>94317</v>
      </c>
    </row>
    <row r="26" spans="1:30" x14ac:dyDescent="0.2">
      <c r="A26" s="63" t="s">
        <v>193</v>
      </c>
      <c r="B26" s="34">
        <v>1302</v>
      </c>
      <c r="C26" s="34">
        <v>2777</v>
      </c>
      <c r="D26" s="34">
        <v>2548</v>
      </c>
      <c r="E26" s="34">
        <v>2954</v>
      </c>
      <c r="F26" s="34">
        <v>2689</v>
      </c>
      <c r="G26" s="34">
        <v>3103</v>
      </c>
      <c r="H26" s="34">
        <v>3055</v>
      </c>
      <c r="I26" s="34">
        <v>5721</v>
      </c>
      <c r="J26" s="34">
        <v>5489</v>
      </c>
      <c r="K26" s="34">
        <v>6832</v>
      </c>
      <c r="L26" s="34">
        <v>8463</v>
      </c>
      <c r="M26" s="34">
        <v>7733</v>
      </c>
      <c r="N26" s="34">
        <v>9424</v>
      </c>
      <c r="O26" s="34">
        <v>14016</v>
      </c>
      <c r="P26" s="34">
        <v>9841</v>
      </c>
      <c r="Q26" s="34">
        <v>8625</v>
      </c>
      <c r="R26" s="34">
        <v>9396</v>
      </c>
      <c r="S26" s="34">
        <v>8134</v>
      </c>
      <c r="T26" s="34">
        <v>6434</v>
      </c>
      <c r="U26" s="34">
        <v>6993</v>
      </c>
      <c r="V26" s="34">
        <v>7031</v>
      </c>
      <c r="W26" s="34">
        <v>6837</v>
      </c>
      <c r="X26" s="34">
        <v>7131</v>
      </c>
      <c r="Y26" s="34">
        <v>7447</v>
      </c>
      <c r="Z26" s="34">
        <v>7422</v>
      </c>
      <c r="AA26" s="34">
        <v>6831</v>
      </c>
      <c r="AB26" s="34">
        <f>9389</f>
        <v>9389</v>
      </c>
      <c r="AC26" s="34">
        <f>9031</f>
        <v>9031</v>
      </c>
      <c r="AD26" s="34">
        <f>10703</f>
        <v>10703</v>
      </c>
    </row>
    <row r="27" spans="1:30" x14ac:dyDescent="0.2">
      <c r="A27" s="63" t="s">
        <v>194</v>
      </c>
      <c r="B27" s="34">
        <v>1162</v>
      </c>
      <c r="C27" s="34">
        <v>1300</v>
      </c>
      <c r="D27" s="34">
        <v>2132</v>
      </c>
      <c r="E27" s="34">
        <v>2436</v>
      </c>
      <c r="F27" s="34">
        <v>4417</v>
      </c>
      <c r="G27" s="34">
        <v>6460</v>
      </c>
      <c r="H27" s="34">
        <v>8127</v>
      </c>
      <c r="I27" s="34">
        <v>2733</v>
      </c>
      <c r="J27" s="34">
        <v>3409</v>
      </c>
      <c r="K27" s="34">
        <v>3546</v>
      </c>
      <c r="L27" s="34">
        <v>3246</v>
      </c>
      <c r="M27" s="34">
        <v>4194</v>
      </c>
      <c r="N27" s="34">
        <v>5535</v>
      </c>
      <c r="O27" s="34">
        <v>4926</v>
      </c>
      <c r="P27" s="34">
        <v>4934</v>
      </c>
      <c r="Q27" s="34">
        <v>3980</v>
      </c>
      <c r="R27" s="34">
        <v>5785</v>
      </c>
      <c r="S27" s="34">
        <v>6238</v>
      </c>
      <c r="T27" s="34">
        <v>6621</v>
      </c>
      <c r="U27" s="34">
        <v>7921</v>
      </c>
      <c r="V27" s="34">
        <v>8149</v>
      </c>
      <c r="W27" s="34">
        <v>7999</v>
      </c>
      <c r="X27" s="34">
        <v>10813</v>
      </c>
      <c r="Y27" s="34">
        <f>11216+1607</f>
        <v>12823</v>
      </c>
      <c r="Z27" s="34">
        <v>9569</v>
      </c>
      <c r="AA27" s="34">
        <f>11674+2325</f>
        <v>13999</v>
      </c>
      <c r="AB27" s="34">
        <f>16143+1777</f>
        <v>17920</v>
      </c>
      <c r="AC27" s="34">
        <f>16350+1422</f>
        <v>17772</v>
      </c>
      <c r="AD27" s="34">
        <f>18694+873</f>
        <v>19567</v>
      </c>
    </row>
    <row r="28" spans="1:30" x14ac:dyDescent="0.2">
      <c r="A28" s="63" t="s">
        <v>405</v>
      </c>
      <c r="B28" s="34">
        <v>-115</v>
      </c>
      <c r="C28" s="34">
        <v>-153</v>
      </c>
      <c r="D28" s="34">
        <v>-120</v>
      </c>
      <c r="E28" s="34">
        <v>-91</v>
      </c>
      <c r="F28" s="34">
        <v>-118</v>
      </c>
      <c r="G28" s="34">
        <v>-74</v>
      </c>
      <c r="H28" s="34">
        <v>-96</v>
      </c>
      <c r="I28" s="34">
        <v>-300</v>
      </c>
      <c r="J28" s="34">
        <v>-433</v>
      </c>
      <c r="K28" s="34">
        <v>-588</v>
      </c>
      <c r="L28" s="34">
        <v>-554</v>
      </c>
      <c r="M28" s="34">
        <v>-576</v>
      </c>
      <c r="N28" s="34">
        <v>-887</v>
      </c>
      <c r="O28" s="34">
        <v>-839</v>
      </c>
      <c r="P28" s="34">
        <v>-831</v>
      </c>
      <c r="Q28" s="34">
        <v>-1516</v>
      </c>
      <c r="R28" s="34">
        <v>-1691</v>
      </c>
      <c r="S28" s="34">
        <v>-1680</v>
      </c>
      <c r="T28" s="34">
        <v>-1745</v>
      </c>
      <c r="U28" s="34">
        <v>-1812</v>
      </c>
      <c r="V28" s="34">
        <v>-1922</v>
      </c>
      <c r="W28" s="34">
        <v>-1490</v>
      </c>
      <c r="X28" s="34">
        <v>-1905</v>
      </c>
      <c r="Y28" s="34">
        <f>-1271-144-809</f>
        <v>-2224</v>
      </c>
      <c r="Z28" s="34">
        <v>-2773</v>
      </c>
      <c r="AA28" s="95">
        <f>-909-153-1070</f>
        <v>-2132</v>
      </c>
      <c r="AB28" s="95">
        <f>-1038-145-1047</f>
        <v>-2230</v>
      </c>
      <c r="AC28" s="95">
        <f>-808-265-1072</f>
        <v>-2145</v>
      </c>
      <c r="AD28" s="95">
        <f>-880-241-891</f>
        <v>-2012</v>
      </c>
    </row>
    <row r="29" spans="1:30" x14ac:dyDescent="0.2">
      <c r="A29" s="63" t="s">
        <v>430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95">
        <f>1347</f>
        <v>1347</v>
      </c>
      <c r="AB29" s="95"/>
      <c r="AC29" s="95">
        <f>2484</f>
        <v>2484</v>
      </c>
      <c r="AD29" s="95">
        <f>2077</f>
        <v>2077</v>
      </c>
    </row>
    <row r="30" spans="1:30" x14ac:dyDescent="0.2">
      <c r="A30" s="6" t="s">
        <v>195</v>
      </c>
      <c r="B30" s="34"/>
      <c r="C30" s="34">
        <v>0</v>
      </c>
      <c r="D30" s="34"/>
      <c r="E30" s="34">
        <v>0</v>
      </c>
      <c r="F30" s="34"/>
      <c r="G30" s="34">
        <v>0</v>
      </c>
      <c r="H30" s="34"/>
      <c r="I30" s="34">
        <v>0</v>
      </c>
      <c r="J30" s="34"/>
      <c r="K30" s="34">
        <v>0</v>
      </c>
      <c r="L30" s="34"/>
      <c r="M30" s="34">
        <v>0</v>
      </c>
      <c r="N30" s="34"/>
      <c r="O30" s="34">
        <v>0</v>
      </c>
      <c r="P30" s="34"/>
      <c r="Q30" s="34">
        <v>324</v>
      </c>
      <c r="R30" s="34">
        <v>706</v>
      </c>
      <c r="S30" s="34">
        <v>752</v>
      </c>
      <c r="T30" s="34">
        <v>755</v>
      </c>
      <c r="U30" s="34">
        <v>840</v>
      </c>
      <c r="V30" s="34">
        <v>897</v>
      </c>
      <c r="W30" s="34">
        <v>892</v>
      </c>
      <c r="X30" s="34">
        <v>1176</v>
      </c>
      <c r="Y30" s="34">
        <v>1197</v>
      </c>
      <c r="Z30" s="34">
        <v>1184</v>
      </c>
      <c r="AA30" s="34">
        <v>1662</v>
      </c>
      <c r="AB30" s="34">
        <f>2845</f>
        <v>2845</v>
      </c>
      <c r="AC30" s="34">
        <f>3022</f>
        <v>3022</v>
      </c>
      <c r="AD30" s="34">
        <f>2908</f>
        <v>2908</v>
      </c>
    </row>
    <row r="31" spans="1:30" x14ac:dyDescent="0.2">
      <c r="A31" s="6" t="s">
        <v>196</v>
      </c>
      <c r="B31" s="34">
        <v>779</v>
      </c>
      <c r="C31" s="34">
        <v>1327</v>
      </c>
      <c r="D31" s="34">
        <v>3032</v>
      </c>
      <c r="E31" s="34">
        <v>6870</v>
      </c>
      <c r="F31" s="34">
        <v>3824</v>
      </c>
      <c r="G31" s="34">
        <v>5008</v>
      </c>
      <c r="H31" s="34">
        <v>5493</v>
      </c>
      <c r="I31" s="34">
        <v>1221</v>
      </c>
      <c r="J31" s="34">
        <v>2122</v>
      </c>
      <c r="K31" s="34">
        <v>733</v>
      </c>
      <c r="L31" s="34">
        <v>830</v>
      </c>
      <c r="M31" s="34">
        <v>793</v>
      </c>
      <c r="N31" s="34">
        <v>754</v>
      </c>
      <c r="O31" s="34">
        <v>185</v>
      </c>
      <c r="P31" s="34">
        <v>201</v>
      </c>
      <c r="Q31" s="34">
        <v>203</v>
      </c>
      <c r="R31" s="34">
        <v>879</v>
      </c>
      <c r="S31" s="34">
        <v>203</v>
      </c>
      <c r="T31" s="34">
        <v>304</v>
      </c>
      <c r="U31" s="34">
        <v>212</v>
      </c>
      <c r="V31" s="34">
        <v>92</v>
      </c>
      <c r="W31" s="34">
        <v>126</v>
      </c>
      <c r="X31" s="34">
        <v>53</v>
      </c>
      <c r="Y31" s="34">
        <v>22</v>
      </c>
      <c r="Z31" s="34">
        <v>20</v>
      </c>
      <c r="AA31" s="34">
        <v>37</v>
      </c>
      <c r="AB31" s="34">
        <f>28</f>
        <v>28</v>
      </c>
      <c r="AC31" s="34">
        <f>27</f>
        <v>27</v>
      </c>
      <c r="AD31" s="34">
        <f>173</f>
        <v>173</v>
      </c>
    </row>
    <row r="32" spans="1:30" x14ac:dyDescent="0.2">
      <c r="A32" s="6" t="s">
        <v>197</v>
      </c>
      <c r="B32" s="34">
        <v>16146</v>
      </c>
      <c r="C32" s="34">
        <v>14484</v>
      </c>
      <c r="D32" s="34">
        <v>13276</v>
      </c>
      <c r="E32" s="34">
        <v>10716</v>
      </c>
      <c r="F32" s="34">
        <v>8559</v>
      </c>
      <c r="G32" s="34">
        <v>8139</v>
      </c>
      <c r="H32" s="34">
        <v>9635</v>
      </c>
      <c r="I32" s="34">
        <v>14631</v>
      </c>
      <c r="J32" s="34">
        <v>10042</v>
      </c>
      <c r="K32" s="34">
        <v>11532</v>
      </c>
      <c r="L32" s="34">
        <v>15770</v>
      </c>
      <c r="M32" s="34">
        <v>10206</v>
      </c>
      <c r="N32" s="34">
        <v>9392</v>
      </c>
      <c r="O32" s="34">
        <v>14125</v>
      </c>
      <c r="P32" s="34">
        <v>18865</v>
      </c>
      <c r="Q32" s="34">
        <v>23066</v>
      </c>
      <c r="R32" s="34">
        <v>35797</v>
      </c>
      <c r="S32" s="34">
        <v>31128</v>
      </c>
      <c r="T32" s="34">
        <v>24678</v>
      </c>
      <c r="U32" s="34">
        <v>25830</v>
      </c>
      <c r="V32" s="34">
        <v>39980</v>
      </c>
      <c r="W32" s="34">
        <v>44587</v>
      </c>
      <c r="X32" s="34">
        <v>39194</v>
      </c>
      <c r="Y32" s="34">
        <v>23811</v>
      </c>
      <c r="Z32" s="34">
        <v>25687</v>
      </c>
      <c r="AA32" s="34">
        <v>9724</v>
      </c>
      <c r="AB32" s="34">
        <f>6999</f>
        <v>6999</v>
      </c>
      <c r="AC32" s="34">
        <f>4320</f>
        <v>4320</v>
      </c>
      <c r="AD32" s="34">
        <f>5644</f>
        <v>5644</v>
      </c>
    </row>
    <row r="33" spans="1:30" x14ac:dyDescent="0.2">
      <c r="A33" s="6" t="s">
        <v>198</v>
      </c>
      <c r="B33" s="34">
        <v>30</v>
      </c>
      <c r="C33" s="34">
        <v>34</v>
      </c>
      <c r="D33" s="34">
        <v>13</v>
      </c>
      <c r="E33" s="34">
        <v>32</v>
      </c>
      <c r="F33" s="34">
        <v>20</v>
      </c>
      <c r="G33" s="34">
        <v>7</v>
      </c>
      <c r="H33" s="34">
        <v>18</v>
      </c>
      <c r="I33" s="34">
        <v>66</v>
      </c>
      <c r="J33" s="34">
        <v>66</v>
      </c>
      <c r="K33" s="34">
        <v>0</v>
      </c>
      <c r="L33" s="34">
        <v>7</v>
      </c>
      <c r="M33" s="34">
        <v>0</v>
      </c>
      <c r="N33" s="34"/>
      <c r="O33" s="34">
        <v>0</v>
      </c>
      <c r="P33" s="34"/>
      <c r="Q33" s="34">
        <v>0</v>
      </c>
      <c r="R33" s="34"/>
      <c r="S33" s="34">
        <v>0</v>
      </c>
      <c r="T33" s="34"/>
      <c r="U33" s="34">
        <v>0</v>
      </c>
      <c r="W33" s="34">
        <v>0</v>
      </c>
      <c r="X33" s="34">
        <v>0</v>
      </c>
      <c r="Y33" s="34"/>
      <c r="Z33" s="34"/>
      <c r="AA33" s="34"/>
      <c r="AB33" s="34"/>
      <c r="AC33" s="34"/>
      <c r="AD33" s="34"/>
    </row>
    <row r="34" spans="1:30" x14ac:dyDescent="0.2">
      <c r="A34" s="37" t="s">
        <v>199</v>
      </c>
      <c r="B34" s="78">
        <v>49793</v>
      </c>
      <c r="C34" s="78">
        <v>55365</v>
      </c>
      <c r="D34" s="78">
        <v>59134</v>
      </c>
      <c r="E34" s="78">
        <v>70198</v>
      </c>
      <c r="F34" s="78">
        <v>70846</v>
      </c>
      <c r="G34" s="78">
        <v>78289</v>
      </c>
      <c r="H34" s="78">
        <v>90024</v>
      </c>
      <c r="I34" s="78">
        <v>88517</v>
      </c>
      <c r="J34" s="78">
        <v>89287</v>
      </c>
      <c r="K34" s="78">
        <v>98221</v>
      </c>
      <c r="L34" s="78">
        <v>106184</v>
      </c>
      <c r="M34" s="78">
        <v>103669</v>
      </c>
      <c r="N34" s="78">
        <v>114538</v>
      </c>
      <c r="O34" s="78">
        <v>122616</v>
      </c>
      <c r="P34" s="78">
        <v>124657</v>
      </c>
      <c r="Q34" s="78">
        <v>111695</v>
      </c>
      <c r="R34" s="78">
        <v>169412</v>
      </c>
      <c r="S34" s="78">
        <v>157915</v>
      </c>
      <c r="T34" s="78">
        <v>147869</v>
      </c>
      <c r="U34" s="78">
        <v>170951</v>
      </c>
      <c r="V34" s="78">
        <v>188698</v>
      </c>
      <c r="W34" s="78">
        <v>205451</v>
      </c>
      <c r="X34" s="78">
        <v>236269</v>
      </c>
      <c r="Y34" s="78">
        <v>226941</v>
      </c>
      <c r="Z34" s="78">
        <v>230150</v>
      </c>
      <c r="AA34" s="78">
        <v>224736</v>
      </c>
      <c r="AB34" s="78">
        <f>233471</f>
        <v>233471</v>
      </c>
      <c r="AC34" s="78">
        <f>SUM(AC18,AC23,AC29:AC32)</f>
        <v>281374</v>
      </c>
      <c r="AD34" s="78">
        <f>SUM(AD18,AD23,AD29:AD32)</f>
        <v>298986</v>
      </c>
    </row>
    <row r="35" spans="1:30" x14ac:dyDescent="0.2">
      <c r="A35" s="6" t="s">
        <v>200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>
        <v>402</v>
      </c>
      <c r="U35" s="34"/>
      <c r="Y35" s="34"/>
      <c r="Z35" s="34"/>
      <c r="AA35" s="34"/>
      <c r="AB35" s="34"/>
      <c r="AC35" s="34"/>
      <c r="AD35" s="34"/>
    </row>
    <row r="36" spans="1:30" x14ac:dyDescent="0.2">
      <c r="A36" s="45" t="s">
        <v>201</v>
      </c>
      <c r="B36" s="79">
        <v>52851</v>
      </c>
      <c r="C36" s="79">
        <v>58784</v>
      </c>
      <c r="D36" s="79">
        <v>62352</v>
      </c>
      <c r="E36" s="79">
        <v>73516</v>
      </c>
      <c r="F36" s="79">
        <v>74411</v>
      </c>
      <c r="G36" s="79">
        <v>83570</v>
      </c>
      <c r="H36" s="79">
        <v>95562</v>
      </c>
      <c r="I36" s="79">
        <v>96280</v>
      </c>
      <c r="J36" s="79">
        <v>96152</v>
      </c>
      <c r="K36" s="79">
        <v>106283</v>
      </c>
      <c r="L36" s="79">
        <v>114870</v>
      </c>
      <c r="M36" s="79">
        <v>114141</v>
      </c>
      <c r="N36" s="79">
        <v>125699</v>
      </c>
      <c r="O36" s="79">
        <v>134813</v>
      </c>
      <c r="P36" s="79">
        <v>138127</v>
      </c>
      <c r="Q36" s="79">
        <v>124537</v>
      </c>
      <c r="R36" s="79">
        <v>183817</v>
      </c>
      <c r="S36" s="79">
        <v>171344</v>
      </c>
      <c r="T36" s="79">
        <v>162289</v>
      </c>
      <c r="U36" s="79">
        <v>186519</v>
      </c>
      <c r="V36" s="62">
        <v>204237</v>
      </c>
      <c r="W36" s="62">
        <v>222098</v>
      </c>
      <c r="X36" s="62">
        <v>254552</v>
      </c>
      <c r="Y36" s="62">
        <v>248045</v>
      </c>
      <c r="Z36" s="62">
        <v>251350</v>
      </c>
      <c r="AA36" s="62">
        <v>260391</v>
      </c>
      <c r="AB36" s="62">
        <f>274393</f>
        <v>274393</v>
      </c>
      <c r="AC36" s="62">
        <f>SUM(AC15,AC34)</f>
        <v>323330</v>
      </c>
      <c r="AD36" s="62">
        <f>SUM(AD15,AD34)</f>
        <v>348169</v>
      </c>
    </row>
    <row r="37" spans="1:30" x14ac:dyDescent="0.2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W37" s="85"/>
      <c r="X37" s="85"/>
      <c r="Y37" s="85"/>
      <c r="Z37" s="85"/>
      <c r="AA37" s="85"/>
      <c r="AB37" s="85"/>
      <c r="AC37" s="85"/>
      <c r="AD37" s="85"/>
    </row>
    <row r="38" spans="1:30" x14ac:dyDescent="0.2">
      <c r="A38" s="46" t="s">
        <v>202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/>
      <c r="AB38" s="6"/>
    </row>
    <row r="39" spans="1:30" x14ac:dyDescent="0.2">
      <c r="A39" s="44" t="s">
        <v>203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AB39" s="6"/>
    </row>
    <row r="40" spans="1:30" x14ac:dyDescent="0.2">
      <c r="A40" s="6" t="s">
        <v>204</v>
      </c>
      <c r="B40" s="34">
        <v>15439</v>
      </c>
      <c r="C40" s="34">
        <v>14980</v>
      </c>
      <c r="D40" s="34">
        <v>14967</v>
      </c>
      <c r="E40" s="34">
        <v>14967</v>
      </c>
      <c r="F40" s="34">
        <v>14967</v>
      </c>
      <c r="G40" s="34">
        <v>14967</v>
      </c>
      <c r="H40" s="34">
        <v>14983</v>
      </c>
      <c r="I40" s="34">
        <v>14983</v>
      </c>
      <c r="J40" s="34">
        <v>14983</v>
      </c>
      <c r="K40" s="34">
        <v>14999</v>
      </c>
      <c r="L40" s="34">
        <v>14999</v>
      </c>
      <c r="M40" s="34">
        <v>15070</v>
      </c>
      <c r="N40" s="34">
        <v>14603</v>
      </c>
      <c r="O40" s="34">
        <v>14103</v>
      </c>
      <c r="P40" s="34">
        <v>15487</v>
      </c>
      <c r="Q40" s="34">
        <v>15487</v>
      </c>
      <c r="R40" s="34">
        <v>15487</v>
      </c>
      <c r="S40" s="34">
        <v>15487</v>
      </c>
      <c r="T40" s="34">
        <v>15487</v>
      </c>
      <c r="U40" s="34">
        <v>15487</v>
      </c>
      <c r="V40" s="34">
        <v>26490</v>
      </c>
      <c r="W40" s="34">
        <f t="shared" ref="W40:AD40" si="0">SUM(W41:W43)</f>
        <v>26368</v>
      </c>
      <c r="X40" s="34">
        <f t="shared" si="0"/>
        <v>26368</v>
      </c>
      <c r="Y40" s="34">
        <f t="shared" si="0"/>
        <v>26368</v>
      </c>
      <c r="Z40" s="34">
        <f t="shared" si="0"/>
        <v>26368</v>
      </c>
      <c r="AA40" s="34">
        <f t="shared" si="0"/>
        <v>26368</v>
      </c>
      <c r="AB40" s="34">
        <f t="shared" si="0"/>
        <v>26368</v>
      </c>
      <c r="AC40" s="34">
        <f t="shared" si="0"/>
        <v>26368</v>
      </c>
      <c r="AD40" s="34">
        <f t="shared" si="0"/>
        <v>26368</v>
      </c>
    </row>
    <row r="41" spans="1:30" x14ac:dyDescent="0.2">
      <c r="A41" s="6" t="s">
        <v>205</v>
      </c>
      <c r="B41" s="34">
        <v>1</v>
      </c>
      <c r="C41" s="34">
        <v>1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/>
      <c r="M41" s="34">
        <v>1</v>
      </c>
      <c r="N41" s="34">
        <v>2</v>
      </c>
      <c r="O41" s="34">
        <v>2</v>
      </c>
      <c r="P41" s="34">
        <v>2</v>
      </c>
      <c r="Q41" s="34">
        <v>2</v>
      </c>
      <c r="R41" s="34">
        <v>2</v>
      </c>
      <c r="S41" s="34">
        <v>2</v>
      </c>
      <c r="T41" s="34">
        <v>2</v>
      </c>
      <c r="U41" s="34">
        <v>2</v>
      </c>
      <c r="V41" s="34">
        <v>2</v>
      </c>
      <c r="W41" s="34">
        <v>2</v>
      </c>
      <c r="X41" s="34">
        <v>2</v>
      </c>
      <c r="Y41" s="34">
        <v>2</v>
      </c>
      <c r="Z41" s="34">
        <v>2</v>
      </c>
      <c r="AA41" s="34">
        <v>2</v>
      </c>
      <c r="AB41" s="34">
        <f>2</f>
        <v>2</v>
      </c>
      <c r="AC41" s="34">
        <v>2</v>
      </c>
      <c r="AD41" s="34">
        <f>2</f>
        <v>2</v>
      </c>
    </row>
    <row r="42" spans="1:30" x14ac:dyDescent="0.2">
      <c r="A42" s="6" t="s">
        <v>206</v>
      </c>
      <c r="B42" s="34">
        <v>15438</v>
      </c>
      <c r="C42" s="34">
        <v>15438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/>
      <c r="M42" s="34">
        <v>15509</v>
      </c>
      <c r="N42" s="34">
        <v>15509</v>
      </c>
      <c r="O42" s="34">
        <v>15486</v>
      </c>
      <c r="P42" s="34">
        <v>15486</v>
      </c>
      <c r="Q42" s="34">
        <v>15486</v>
      </c>
      <c r="R42" s="34">
        <v>15486</v>
      </c>
      <c r="S42" s="34">
        <v>15486</v>
      </c>
      <c r="T42" s="34">
        <v>15486</v>
      </c>
      <c r="U42" s="34">
        <v>15486</v>
      </c>
      <c r="V42" s="34">
        <v>26489</v>
      </c>
      <c r="W42" s="34">
        <v>26367</v>
      </c>
      <c r="X42" s="34">
        <v>26367</v>
      </c>
      <c r="Y42" s="34">
        <v>26367</v>
      </c>
      <c r="Z42" s="34">
        <v>26367</v>
      </c>
      <c r="AA42" s="34">
        <v>26367</v>
      </c>
      <c r="AB42" s="34">
        <f>26367</f>
        <v>26367</v>
      </c>
      <c r="AC42" s="34">
        <v>26367</v>
      </c>
      <c r="AD42" s="34">
        <f>26367</f>
        <v>26367</v>
      </c>
    </row>
    <row r="43" spans="1:30" x14ac:dyDescent="0.2">
      <c r="A43" s="6" t="s">
        <v>207</v>
      </c>
      <c r="B43" s="34"/>
      <c r="C43" s="34">
        <v>-459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/>
      <c r="M43" s="34">
        <v>-440</v>
      </c>
      <c r="N43" s="34">
        <v>-908</v>
      </c>
      <c r="O43" s="34">
        <v>-1606</v>
      </c>
      <c r="P43" s="34">
        <v>-1</v>
      </c>
      <c r="Q43" s="34">
        <v>-1</v>
      </c>
      <c r="R43" s="34">
        <v>-1</v>
      </c>
      <c r="S43" s="34">
        <v>-1</v>
      </c>
      <c r="T43" s="34">
        <v>-1</v>
      </c>
      <c r="U43" s="34">
        <v>-1</v>
      </c>
      <c r="V43" s="34">
        <v>-1</v>
      </c>
      <c r="W43" s="34">
        <v>-1</v>
      </c>
      <c r="X43" s="34">
        <v>-1</v>
      </c>
      <c r="Y43" s="34">
        <v>-1</v>
      </c>
      <c r="Z43" s="34">
        <v>-1</v>
      </c>
      <c r="AA43" s="34">
        <v>-1</v>
      </c>
      <c r="AB43" s="34">
        <v>-1</v>
      </c>
      <c r="AC43" s="34">
        <v>-1</v>
      </c>
      <c r="AD43" s="34">
        <f>-1</f>
        <v>-1</v>
      </c>
    </row>
    <row r="44" spans="1:30" x14ac:dyDescent="0.2">
      <c r="A44" s="6" t="s">
        <v>208</v>
      </c>
      <c r="B44" s="34"/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/>
      <c r="M44" s="34">
        <v>0</v>
      </c>
      <c r="N44" s="34"/>
      <c r="O44" s="34">
        <v>221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f>0</f>
        <v>0</v>
      </c>
      <c r="AC44" s="103">
        <f>0</f>
        <v>0</v>
      </c>
      <c r="AD44" s="103">
        <f>0</f>
        <v>0</v>
      </c>
    </row>
    <row r="45" spans="1:30" x14ac:dyDescent="0.2">
      <c r="A45" s="6" t="s">
        <v>209</v>
      </c>
      <c r="B45" s="34">
        <v>12880</v>
      </c>
      <c r="C45" s="34">
        <v>17704</v>
      </c>
      <c r="D45" s="34">
        <v>20009</v>
      </c>
      <c r="E45" s="34">
        <v>22688</v>
      </c>
      <c r="F45" s="34">
        <v>25771</v>
      </c>
      <c r="G45" s="34">
        <v>29332</v>
      </c>
      <c r="H45" s="34">
        <v>30259</v>
      </c>
      <c r="I45" s="34">
        <v>36537</v>
      </c>
      <c r="J45" s="34">
        <v>37011</v>
      </c>
      <c r="K45" s="34">
        <v>39697</v>
      </c>
      <c r="L45" s="34">
        <v>40068</v>
      </c>
      <c r="M45" s="34">
        <v>43052</v>
      </c>
      <c r="N45" s="34">
        <v>44263</v>
      </c>
      <c r="O45" s="34">
        <v>48702</v>
      </c>
      <c r="P45" s="34">
        <v>43428</v>
      </c>
      <c r="Q45" s="34">
        <v>39802</v>
      </c>
      <c r="R45" s="34">
        <v>41848</v>
      </c>
      <c r="S45" s="34">
        <v>37089</v>
      </c>
      <c r="T45" s="34">
        <v>35317</v>
      </c>
      <c r="U45" s="34">
        <v>35586</v>
      </c>
      <c r="V45" s="34">
        <v>36881</v>
      </c>
      <c r="W45" s="34">
        <v>34992</v>
      </c>
      <c r="X45" s="34">
        <v>46655</v>
      </c>
      <c r="Y45" s="34">
        <v>47821</v>
      </c>
      <c r="Z45" s="34">
        <v>45779</v>
      </c>
      <c r="AA45" s="34">
        <v>44523</v>
      </c>
      <c r="AB45" s="34">
        <f>43026</f>
        <v>43026</v>
      </c>
      <c r="AC45" s="34">
        <f>37609</f>
        <v>37609</v>
      </c>
      <c r="AD45" s="34">
        <f>28669</f>
        <v>28669</v>
      </c>
    </row>
    <row r="46" spans="1:30" x14ac:dyDescent="0.2">
      <c r="A46" s="6" t="s">
        <v>210</v>
      </c>
      <c r="B46" s="34">
        <v>28319</v>
      </c>
      <c r="C46" s="34">
        <v>32684</v>
      </c>
      <c r="D46" s="34">
        <v>34976</v>
      </c>
      <c r="E46" s="34">
        <v>37655</v>
      </c>
      <c r="F46" s="34">
        <v>40738</v>
      </c>
      <c r="G46" s="34">
        <v>44299</v>
      </c>
      <c r="H46" s="34">
        <v>45242</v>
      </c>
      <c r="I46" s="34">
        <v>51520</v>
      </c>
      <c r="J46" s="34">
        <v>51994</v>
      </c>
      <c r="K46" s="34">
        <v>54696</v>
      </c>
      <c r="L46" s="34">
        <v>55067</v>
      </c>
      <c r="M46" s="34">
        <v>58122</v>
      </c>
      <c r="N46" s="34">
        <v>58866</v>
      </c>
      <c r="O46" s="34">
        <v>62805</v>
      </c>
      <c r="P46" s="34">
        <v>58915</v>
      </c>
      <c r="Q46" s="34">
        <v>55289</v>
      </c>
      <c r="R46" s="34">
        <v>57335</v>
      </c>
      <c r="S46" s="34">
        <v>52576</v>
      </c>
      <c r="T46" s="34">
        <v>50804</v>
      </c>
      <c r="U46" s="34">
        <v>51073</v>
      </c>
      <c r="V46" s="34">
        <v>63371</v>
      </c>
      <c r="W46" s="34">
        <v>61360</v>
      </c>
      <c r="X46" s="34">
        <v>73023</v>
      </c>
      <c r="Y46" s="34">
        <v>74189</v>
      </c>
      <c r="Z46" s="34">
        <v>72147</v>
      </c>
      <c r="AA46" s="34">
        <v>70891</v>
      </c>
      <c r="AB46" s="34">
        <f>69394</f>
        <v>69394</v>
      </c>
      <c r="AC46" s="34">
        <f>63977</f>
        <v>63977</v>
      </c>
      <c r="AD46" s="34">
        <f>55037</f>
        <v>55037</v>
      </c>
    </row>
    <row r="47" spans="1:30" x14ac:dyDescent="0.2">
      <c r="A47" s="6" t="s">
        <v>165</v>
      </c>
      <c r="B47" s="34">
        <v>487</v>
      </c>
      <c r="C47" s="34">
        <v>372</v>
      </c>
      <c r="D47" s="34">
        <v>436</v>
      </c>
      <c r="E47" s="34">
        <v>408</v>
      </c>
      <c r="F47" s="34">
        <v>394</v>
      </c>
      <c r="G47" s="34">
        <v>387</v>
      </c>
      <c r="H47" s="34">
        <v>387</v>
      </c>
      <c r="I47" s="34">
        <v>351</v>
      </c>
      <c r="J47" s="34">
        <v>170</v>
      </c>
      <c r="K47" s="34">
        <v>147</v>
      </c>
      <c r="L47" s="34">
        <v>83</v>
      </c>
      <c r="M47" s="34">
        <v>28</v>
      </c>
      <c r="N47" s="34">
        <v>0</v>
      </c>
      <c r="O47" s="34">
        <v>0</v>
      </c>
      <c r="P47" s="34">
        <v>1</v>
      </c>
      <c r="Q47" s="34">
        <v>2</v>
      </c>
      <c r="R47" s="34">
        <v>15079</v>
      </c>
      <c r="S47" s="34">
        <v>0</v>
      </c>
      <c r="T47" s="34">
        <v>1</v>
      </c>
      <c r="U47" s="34">
        <v>0</v>
      </c>
      <c r="V47" s="34">
        <v>0</v>
      </c>
      <c r="W47" s="34">
        <v>0</v>
      </c>
      <c r="X47" s="34">
        <v>204</v>
      </c>
      <c r="Y47" s="34"/>
      <c r="Z47" s="34"/>
      <c r="AA47" s="34"/>
      <c r="AB47" s="34">
        <f>808</f>
        <v>808</v>
      </c>
      <c r="AC47" s="34">
        <f>808</f>
        <v>808</v>
      </c>
      <c r="AD47" s="34">
        <f>808</f>
        <v>808</v>
      </c>
    </row>
    <row r="48" spans="1:30" x14ac:dyDescent="0.2">
      <c r="A48" s="37" t="s">
        <v>211</v>
      </c>
      <c r="B48" s="78">
        <v>28806</v>
      </c>
      <c r="C48" s="78">
        <v>33056</v>
      </c>
      <c r="D48" s="78">
        <v>35412</v>
      </c>
      <c r="E48" s="78">
        <v>38063</v>
      </c>
      <c r="F48" s="78">
        <v>41132</v>
      </c>
      <c r="G48" s="78">
        <v>44686</v>
      </c>
      <c r="H48" s="78">
        <v>45629</v>
      </c>
      <c r="I48" s="78">
        <v>51871</v>
      </c>
      <c r="J48" s="78">
        <v>52164</v>
      </c>
      <c r="K48" s="78">
        <v>54843</v>
      </c>
      <c r="L48" s="78">
        <v>55150</v>
      </c>
      <c r="M48" s="78">
        <v>58150</v>
      </c>
      <c r="N48" s="78">
        <v>58866</v>
      </c>
      <c r="O48" s="78">
        <v>62805</v>
      </c>
      <c r="P48" s="78">
        <v>58916</v>
      </c>
      <c r="Q48" s="78">
        <v>55291</v>
      </c>
      <c r="R48" s="78">
        <v>72414</v>
      </c>
      <c r="S48" s="78">
        <v>52576</v>
      </c>
      <c r="T48" s="78">
        <v>50805</v>
      </c>
      <c r="U48" s="78">
        <v>51073</v>
      </c>
      <c r="V48" s="78">
        <v>63371</v>
      </c>
      <c r="W48" s="78">
        <v>61360</v>
      </c>
      <c r="X48" s="78">
        <v>73227</v>
      </c>
      <c r="Y48" s="78">
        <v>74189</v>
      </c>
      <c r="Z48" s="78">
        <v>72147</v>
      </c>
      <c r="AA48" s="78">
        <v>70891</v>
      </c>
      <c r="AB48" s="78">
        <f>70202</f>
        <v>70202</v>
      </c>
      <c r="AC48" s="78">
        <f>SUM(AC46:AC47)</f>
        <v>64785</v>
      </c>
      <c r="AD48" s="78">
        <f>SUM(AD46:AD47)</f>
        <v>55845</v>
      </c>
    </row>
    <row r="49" spans="1:30" x14ac:dyDescent="0.2">
      <c r="A49" s="37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AB49" s="6"/>
    </row>
    <row r="50" spans="1:30" x14ac:dyDescent="0.2">
      <c r="A50" s="44" t="s">
        <v>212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AB50" s="6"/>
    </row>
    <row r="51" spans="1:30" x14ac:dyDescent="0.2">
      <c r="A51" s="6" t="s">
        <v>213</v>
      </c>
      <c r="B51" s="34">
        <v>7658</v>
      </c>
      <c r="C51" s="34">
        <v>8456</v>
      </c>
      <c r="D51" s="34">
        <v>7466</v>
      </c>
      <c r="E51" s="34">
        <v>12811</v>
      </c>
      <c r="F51" s="34">
        <v>10750</v>
      </c>
      <c r="G51" s="34">
        <v>10176</v>
      </c>
      <c r="H51" s="34">
        <v>10050</v>
      </c>
      <c r="I51" s="34">
        <v>12411</v>
      </c>
      <c r="J51" s="34">
        <v>13375</v>
      </c>
      <c r="K51" s="34">
        <v>13138</v>
      </c>
      <c r="L51" s="34">
        <v>12950</v>
      </c>
      <c r="M51" s="34">
        <v>12415</v>
      </c>
      <c r="N51" s="34">
        <v>14973</v>
      </c>
      <c r="O51" s="34">
        <v>21418</v>
      </c>
      <c r="P51" s="34">
        <v>20673</v>
      </c>
      <c r="Q51" s="34">
        <v>17559</v>
      </c>
      <c r="R51" s="34">
        <v>33422</v>
      </c>
      <c r="S51" s="34">
        <v>42258</v>
      </c>
      <c r="T51" s="34">
        <v>33623</v>
      </c>
      <c r="U51" s="34">
        <v>34636</v>
      </c>
      <c r="V51" s="34">
        <v>50322</v>
      </c>
      <c r="W51" s="34">
        <v>67132</v>
      </c>
      <c r="X51" s="34">
        <v>75626</v>
      </c>
      <c r="Y51" s="34">
        <v>73970</v>
      </c>
      <c r="Z51" s="34">
        <v>81818</v>
      </c>
      <c r="AA51" s="34">
        <v>82112</v>
      </c>
      <c r="AB51" s="34">
        <f>122062</f>
        <v>122062</v>
      </c>
      <c r="AC51" s="34">
        <f>131773</f>
        <v>131773</v>
      </c>
      <c r="AD51" s="34">
        <f>147056</f>
        <v>147056</v>
      </c>
    </row>
    <row r="52" spans="1:30" x14ac:dyDescent="0.2">
      <c r="A52" s="6" t="s">
        <v>214</v>
      </c>
      <c r="B52" s="34">
        <v>129</v>
      </c>
      <c r="C52" s="34">
        <v>48</v>
      </c>
      <c r="D52" s="34">
        <v>30</v>
      </c>
      <c r="E52" s="34">
        <v>980</v>
      </c>
      <c r="F52" s="34">
        <v>1041</v>
      </c>
      <c r="G52" s="34">
        <v>785</v>
      </c>
      <c r="H52" s="34">
        <v>678</v>
      </c>
      <c r="I52" s="34">
        <v>2854</v>
      </c>
      <c r="J52" s="34">
        <v>4024</v>
      </c>
      <c r="K52" s="34">
        <v>923</v>
      </c>
      <c r="L52" s="34">
        <v>610</v>
      </c>
      <c r="M52" s="34">
        <v>859</v>
      </c>
      <c r="N52" s="34">
        <v>3270</v>
      </c>
      <c r="O52" s="34">
        <v>2546</v>
      </c>
      <c r="P52" s="34">
        <v>2154</v>
      </c>
      <c r="Q52" s="34">
        <v>1995</v>
      </c>
      <c r="R52" s="34">
        <v>2868</v>
      </c>
      <c r="S52" s="34">
        <v>3227</v>
      </c>
      <c r="T52" s="34">
        <v>1411</v>
      </c>
      <c r="U52" s="34">
        <v>26734</v>
      </c>
      <c r="V52" s="34">
        <v>28044</v>
      </c>
      <c r="W52" s="34">
        <v>31230</v>
      </c>
      <c r="X52" s="34">
        <v>23733</v>
      </c>
      <c r="Y52" s="34">
        <v>22978</v>
      </c>
      <c r="Z52" s="34">
        <v>9770</v>
      </c>
      <c r="AA52" s="34">
        <v>8957</v>
      </c>
      <c r="AB52" s="34">
        <f>6573</f>
        <v>6573</v>
      </c>
      <c r="AC52" s="34">
        <f>SUM(AC53:AC54)</f>
        <v>11611</v>
      </c>
      <c r="AD52" s="34">
        <f>SUM(AD53:AD54)</f>
        <v>5807</v>
      </c>
    </row>
    <row r="53" spans="1:30" x14ac:dyDescent="0.2">
      <c r="A53" s="102" t="s">
        <v>215</v>
      </c>
      <c r="B53" s="34">
        <v>129</v>
      </c>
      <c r="C53" s="34">
        <v>48</v>
      </c>
      <c r="D53" s="34">
        <v>30</v>
      </c>
      <c r="E53" s="34">
        <v>980</v>
      </c>
      <c r="F53" s="34">
        <v>1041</v>
      </c>
      <c r="G53" s="34">
        <v>785</v>
      </c>
      <c r="H53" s="34">
        <v>678</v>
      </c>
      <c r="I53" s="34">
        <v>2854</v>
      </c>
      <c r="J53" s="34">
        <v>4024</v>
      </c>
      <c r="K53" s="34">
        <v>923</v>
      </c>
      <c r="L53" s="34">
        <v>610</v>
      </c>
      <c r="M53" s="34">
        <v>859</v>
      </c>
      <c r="N53" s="34">
        <v>3270</v>
      </c>
      <c r="O53" s="34">
        <v>2546</v>
      </c>
      <c r="P53" s="34">
        <v>2154</v>
      </c>
      <c r="Q53" s="34">
        <v>1777</v>
      </c>
      <c r="R53" s="34">
        <v>2867</v>
      </c>
      <c r="S53" s="34">
        <v>3227</v>
      </c>
      <c r="T53" s="34">
        <v>1411</v>
      </c>
      <c r="U53" s="34">
        <v>26734</v>
      </c>
      <c r="V53" s="34">
        <v>28044</v>
      </c>
      <c r="W53" s="34">
        <v>31230</v>
      </c>
      <c r="X53" s="34">
        <f>X52</f>
        <v>23733</v>
      </c>
      <c r="Y53" s="34">
        <v>22978</v>
      </c>
      <c r="Z53" s="34">
        <v>9770</v>
      </c>
      <c r="AA53" s="34">
        <v>8957</v>
      </c>
      <c r="AB53" s="34">
        <f>6573</f>
        <v>6573</v>
      </c>
      <c r="AC53" s="34">
        <f>11611</f>
        <v>11611</v>
      </c>
      <c r="AD53" s="34">
        <f>5807</f>
        <v>5807</v>
      </c>
    </row>
    <row r="54" spans="1:30" x14ac:dyDescent="0.2">
      <c r="A54" s="102" t="s">
        <v>216</v>
      </c>
      <c r="B54" s="34"/>
      <c r="C54" s="34">
        <v>0</v>
      </c>
      <c r="D54" s="34"/>
      <c r="E54" s="34">
        <v>0</v>
      </c>
      <c r="F54" s="34"/>
      <c r="G54" s="34">
        <v>0</v>
      </c>
      <c r="H54" s="34"/>
      <c r="I54" s="34">
        <v>0</v>
      </c>
      <c r="J54" s="34"/>
      <c r="K54" s="34">
        <v>0</v>
      </c>
      <c r="L54" s="34"/>
      <c r="M54" s="34">
        <v>0</v>
      </c>
      <c r="N54" s="34"/>
      <c r="O54" s="34">
        <v>0</v>
      </c>
      <c r="P54" s="34"/>
      <c r="Q54" s="34">
        <v>218</v>
      </c>
      <c r="R54" s="34">
        <v>1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/>
      <c r="Y54" s="34"/>
      <c r="Z54" s="34"/>
      <c r="AA54" s="34"/>
      <c r="AB54" s="34"/>
      <c r="AC54" s="34"/>
      <c r="AD54" s="34"/>
    </row>
    <row r="55" spans="1:30" x14ac:dyDescent="0.2">
      <c r="A55" s="6" t="s">
        <v>217</v>
      </c>
      <c r="B55" s="34">
        <v>75</v>
      </c>
      <c r="C55" s="34">
        <v>77</v>
      </c>
      <c r="D55" s="34">
        <v>61</v>
      </c>
      <c r="E55" s="34">
        <v>65</v>
      </c>
      <c r="F55" s="34">
        <v>61</v>
      </c>
      <c r="G55" s="34">
        <v>89</v>
      </c>
      <c r="H55" s="34">
        <v>91</v>
      </c>
      <c r="I55" s="34">
        <v>114</v>
      </c>
      <c r="J55" s="34">
        <v>112</v>
      </c>
      <c r="K55" s="34">
        <v>117</v>
      </c>
      <c r="L55" s="34">
        <v>109</v>
      </c>
      <c r="M55" s="34">
        <v>107</v>
      </c>
      <c r="N55" s="34">
        <v>99</v>
      </c>
      <c r="O55" s="34">
        <v>102</v>
      </c>
      <c r="P55" s="34">
        <v>85</v>
      </c>
      <c r="Q55" s="34">
        <v>121</v>
      </c>
      <c r="R55" s="34">
        <v>136</v>
      </c>
      <c r="S55" s="34">
        <v>116</v>
      </c>
      <c r="T55" s="34">
        <v>183</v>
      </c>
      <c r="U55" s="34">
        <v>129</v>
      </c>
      <c r="V55" s="34">
        <v>111</v>
      </c>
      <c r="W55" s="34">
        <v>117</v>
      </c>
      <c r="X55" s="34">
        <v>418</v>
      </c>
      <c r="Y55" s="34">
        <v>406</v>
      </c>
      <c r="Z55" s="34">
        <v>396</v>
      </c>
      <c r="AA55" s="34">
        <v>366</v>
      </c>
      <c r="AB55" s="34">
        <f>347</f>
        <v>347</v>
      </c>
      <c r="AC55" s="34">
        <f>208</f>
        <v>208</v>
      </c>
      <c r="AD55" s="34">
        <f>179</f>
        <v>179</v>
      </c>
    </row>
    <row r="56" spans="1:30" x14ac:dyDescent="0.2">
      <c r="A56" s="6" t="s">
        <v>431</v>
      </c>
      <c r="B56" s="34">
        <f>0</f>
        <v>0</v>
      </c>
      <c r="C56" s="34">
        <f>0</f>
        <v>0</v>
      </c>
      <c r="D56" s="34">
        <f>0</f>
        <v>0</v>
      </c>
      <c r="E56" s="34">
        <f>0</f>
        <v>0</v>
      </c>
      <c r="F56" s="34">
        <f>0</f>
        <v>0</v>
      </c>
      <c r="G56" s="34">
        <f>0</f>
        <v>0</v>
      </c>
      <c r="H56" s="34">
        <f>0</f>
        <v>0</v>
      </c>
      <c r="I56" s="34">
        <f>0</f>
        <v>0</v>
      </c>
      <c r="J56" s="34">
        <f>0</f>
        <v>0</v>
      </c>
      <c r="K56" s="34">
        <f>0</f>
        <v>0</v>
      </c>
      <c r="L56" s="34">
        <f>0</f>
        <v>0</v>
      </c>
      <c r="M56" s="34">
        <f>0</f>
        <v>0</v>
      </c>
      <c r="N56" s="34">
        <f>0</f>
        <v>0</v>
      </c>
      <c r="O56" s="34">
        <f>0</f>
        <v>0</v>
      </c>
      <c r="P56" s="34">
        <f>0</f>
        <v>0</v>
      </c>
      <c r="Q56" s="34">
        <f>0</f>
        <v>0</v>
      </c>
      <c r="R56" s="34">
        <f>0</f>
        <v>0</v>
      </c>
      <c r="S56" s="34">
        <f>0</f>
        <v>0</v>
      </c>
      <c r="T56" s="34">
        <f>0</f>
        <v>0</v>
      </c>
      <c r="U56" s="34">
        <f>0</f>
        <v>0</v>
      </c>
      <c r="V56" s="34">
        <f>0</f>
        <v>0</v>
      </c>
      <c r="W56" s="34">
        <f>0</f>
        <v>0</v>
      </c>
      <c r="X56" s="34">
        <f>0</f>
        <v>0</v>
      </c>
      <c r="Y56" s="34">
        <f>0</f>
        <v>0</v>
      </c>
      <c r="Z56" s="34">
        <f>0</f>
        <v>0</v>
      </c>
      <c r="AA56" s="34">
        <f>0</f>
        <v>0</v>
      </c>
      <c r="AB56" s="34">
        <f>0</f>
        <v>0</v>
      </c>
      <c r="AC56" s="34">
        <f>7497</f>
        <v>7497</v>
      </c>
      <c r="AD56" s="34">
        <f>12172</f>
        <v>12172</v>
      </c>
    </row>
    <row r="57" spans="1:30" x14ac:dyDescent="0.2">
      <c r="A57" s="6" t="s">
        <v>218</v>
      </c>
      <c r="B57" s="34">
        <v>19</v>
      </c>
      <c r="C57" s="34">
        <v>98</v>
      </c>
      <c r="D57" s="34">
        <v>272</v>
      </c>
      <c r="E57" s="34">
        <v>226</v>
      </c>
      <c r="F57" s="34">
        <v>402</v>
      </c>
      <c r="G57" s="34">
        <v>826</v>
      </c>
      <c r="H57" s="34">
        <v>650</v>
      </c>
      <c r="I57" s="34">
        <v>1456</v>
      </c>
      <c r="J57" s="34">
        <v>1249</v>
      </c>
      <c r="K57" s="34">
        <v>1810</v>
      </c>
      <c r="L57" s="34">
        <v>1096</v>
      </c>
      <c r="M57" s="34">
        <v>1557</v>
      </c>
      <c r="N57" s="34">
        <v>1173</v>
      </c>
      <c r="O57" s="34">
        <v>2941</v>
      </c>
      <c r="P57" s="34">
        <v>2428</v>
      </c>
      <c r="Q57" s="34">
        <v>1599</v>
      </c>
      <c r="R57" s="34">
        <v>6551</v>
      </c>
      <c r="S57" s="34">
        <v>6463</v>
      </c>
      <c r="T57" s="34">
        <v>7342</v>
      </c>
      <c r="U57" s="34">
        <v>7930</v>
      </c>
      <c r="V57" s="34">
        <v>8376</v>
      </c>
      <c r="W57" s="34">
        <v>7428</v>
      </c>
      <c r="X57" s="34">
        <v>7745</v>
      </c>
      <c r="Y57" s="34">
        <v>7513</v>
      </c>
      <c r="Z57" s="34">
        <v>6695</v>
      </c>
      <c r="AA57" s="34">
        <v>3578</v>
      </c>
      <c r="AB57" s="34">
        <f>4592</f>
        <v>4592</v>
      </c>
      <c r="AC57" s="34">
        <f>6997</f>
        <v>6997</v>
      </c>
      <c r="AD57" s="34">
        <f>8356</f>
        <v>8356</v>
      </c>
    </row>
    <row r="58" spans="1:30" x14ac:dyDescent="0.2">
      <c r="A58" s="37" t="s">
        <v>219</v>
      </c>
      <c r="B58" s="78">
        <v>7881</v>
      </c>
      <c r="C58" s="78">
        <v>8679</v>
      </c>
      <c r="D58" s="78">
        <v>7829</v>
      </c>
      <c r="E58" s="78">
        <v>14082</v>
      </c>
      <c r="F58" s="78">
        <v>12254</v>
      </c>
      <c r="G58" s="78">
        <v>11876</v>
      </c>
      <c r="H58" s="78">
        <v>11469</v>
      </c>
      <c r="I58" s="78">
        <v>16835</v>
      </c>
      <c r="J58" s="78">
        <v>18760</v>
      </c>
      <c r="K58" s="78">
        <v>15988</v>
      </c>
      <c r="L58" s="78">
        <v>14765</v>
      </c>
      <c r="M58" s="78">
        <v>14938</v>
      </c>
      <c r="N58" s="78">
        <v>19515</v>
      </c>
      <c r="O58" s="78">
        <v>27007</v>
      </c>
      <c r="P58" s="78">
        <v>25340</v>
      </c>
      <c r="Q58" s="78">
        <v>21274</v>
      </c>
      <c r="R58" s="78">
        <v>42977</v>
      </c>
      <c r="S58" s="78">
        <v>52064</v>
      </c>
      <c r="T58" s="78">
        <v>42559</v>
      </c>
      <c r="U58" s="78">
        <v>69429</v>
      </c>
      <c r="V58" s="78">
        <v>86853</v>
      </c>
      <c r="W58" s="78">
        <v>105907</v>
      </c>
      <c r="X58" s="78">
        <v>107522</v>
      </c>
      <c r="Y58" s="78">
        <v>104867</v>
      </c>
      <c r="Z58" s="78">
        <v>98679</v>
      </c>
      <c r="AA58" s="78">
        <v>95013</v>
      </c>
      <c r="AB58" s="78">
        <f>133574</f>
        <v>133574</v>
      </c>
      <c r="AC58" s="78">
        <f>SUM(AC51:AC52,AC55:AC57)</f>
        <v>158086</v>
      </c>
      <c r="AD58" s="78">
        <f>SUM(AD51:AD52,AD55:AD57)</f>
        <v>173570</v>
      </c>
    </row>
    <row r="59" spans="1:30" x14ac:dyDescent="0.2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AB59" s="6"/>
    </row>
    <row r="60" spans="1:30" x14ac:dyDescent="0.2">
      <c r="A60" s="44" t="s">
        <v>220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AB60" s="6"/>
    </row>
    <row r="61" spans="1:30" x14ac:dyDescent="0.2">
      <c r="A61" s="6" t="s">
        <v>213</v>
      </c>
      <c r="B61" s="34">
        <v>1632</v>
      </c>
      <c r="C61" s="34">
        <v>1950</v>
      </c>
      <c r="D61" s="34">
        <v>3375</v>
      </c>
      <c r="E61" s="34">
        <v>3825</v>
      </c>
      <c r="F61" s="34">
        <v>2359</v>
      </c>
      <c r="G61" s="34">
        <v>3043</v>
      </c>
      <c r="H61" s="34">
        <v>4689</v>
      </c>
      <c r="I61" s="34">
        <v>3880</v>
      </c>
      <c r="J61" s="34">
        <v>5141</v>
      </c>
      <c r="K61" s="34">
        <v>6276</v>
      </c>
      <c r="L61" s="34">
        <v>8720</v>
      </c>
      <c r="M61" s="34">
        <v>5639</v>
      </c>
      <c r="N61" s="34">
        <v>4051</v>
      </c>
      <c r="O61" s="34">
        <v>2569</v>
      </c>
      <c r="P61" s="34">
        <v>2133</v>
      </c>
      <c r="Q61" s="34">
        <v>3353</v>
      </c>
      <c r="R61" s="34">
        <v>7229</v>
      </c>
      <c r="S61" s="34">
        <v>10434</v>
      </c>
      <c r="T61" s="34">
        <v>15161</v>
      </c>
      <c r="U61" s="34">
        <v>15869</v>
      </c>
      <c r="V61" s="34">
        <v>9985</v>
      </c>
      <c r="W61" s="34">
        <v>16306</v>
      </c>
      <c r="X61" s="34">
        <v>20968</v>
      </c>
      <c r="Y61" s="34">
        <v>19118</v>
      </c>
      <c r="Z61" s="34">
        <v>17349</v>
      </c>
      <c r="AA61" s="34">
        <v>36499</v>
      </c>
      <c r="AB61" s="34">
        <v>20181</v>
      </c>
      <c r="AC61" s="34">
        <f>44820</f>
        <v>44820</v>
      </c>
      <c r="AD61" s="34">
        <f>58199</f>
        <v>58199</v>
      </c>
    </row>
    <row r="62" spans="1:30" x14ac:dyDescent="0.2">
      <c r="A62" s="6" t="s">
        <v>214</v>
      </c>
      <c r="B62" s="34">
        <v>13487</v>
      </c>
      <c r="C62" s="34">
        <v>13539</v>
      </c>
      <c r="D62" s="34">
        <v>14570</v>
      </c>
      <c r="E62" s="34">
        <v>16966</v>
      </c>
      <c r="F62" s="34">
        <v>18399</v>
      </c>
      <c r="G62" s="34">
        <v>22300</v>
      </c>
      <c r="H62" s="34">
        <v>32436</v>
      </c>
      <c r="I62" s="34">
        <v>21460</v>
      </c>
      <c r="J62" s="34">
        <v>18451</v>
      </c>
      <c r="K62" s="34">
        <v>25630</v>
      </c>
      <c r="L62" s="34">
        <v>34375</v>
      </c>
      <c r="M62" s="34">
        <v>33666</v>
      </c>
      <c r="N62" s="34">
        <v>41773</v>
      </c>
      <c r="O62" s="34">
        <v>40569</v>
      </c>
      <c r="P62" s="34">
        <v>50512</v>
      </c>
      <c r="Q62" s="34">
        <v>43658</v>
      </c>
      <c r="R62" s="34">
        <v>60520</v>
      </c>
      <c r="S62" s="34">
        <v>55581</v>
      </c>
      <c r="T62" s="34">
        <v>53142</v>
      </c>
      <c r="U62" s="34">
        <v>49750</v>
      </c>
      <c r="V62" s="34">
        <v>42788</v>
      </c>
      <c r="W62" s="34">
        <v>38007</v>
      </c>
      <c r="X62" s="34">
        <v>52835</v>
      </c>
      <c r="Y62" s="34">
        <f t="shared" ref="Y62:AD62" si="1">Y63+Y64</f>
        <v>40572</v>
      </c>
      <c r="Z62" s="34">
        <f t="shared" si="1"/>
        <v>53440</v>
      </c>
      <c r="AA62" s="34">
        <f t="shared" si="1"/>
        <v>48765</v>
      </c>
      <c r="AB62" s="34">
        <f t="shared" si="1"/>
        <v>41806</v>
      </c>
      <c r="AC62" s="34">
        <f t="shared" si="1"/>
        <v>42935</v>
      </c>
      <c r="AD62" s="34">
        <f t="shared" si="1"/>
        <v>46299</v>
      </c>
    </row>
    <row r="63" spans="1:30" x14ac:dyDescent="0.2">
      <c r="A63" s="102" t="s">
        <v>221</v>
      </c>
      <c r="B63" s="101">
        <v>13487</v>
      </c>
      <c r="C63" s="101">
        <v>13539</v>
      </c>
      <c r="D63" s="101">
        <v>14570</v>
      </c>
      <c r="E63" s="101">
        <v>16966</v>
      </c>
      <c r="F63" s="101">
        <v>18399</v>
      </c>
      <c r="G63" s="101">
        <v>22300</v>
      </c>
      <c r="H63" s="101">
        <v>32436</v>
      </c>
      <c r="I63" s="101">
        <v>21460</v>
      </c>
      <c r="J63" s="101">
        <v>18451</v>
      </c>
      <c r="K63" s="101">
        <v>25630</v>
      </c>
      <c r="L63" s="101">
        <v>34375</v>
      </c>
      <c r="M63" s="101">
        <v>33666</v>
      </c>
      <c r="N63" s="101">
        <v>41773</v>
      </c>
      <c r="O63" s="101">
        <v>14920</v>
      </c>
      <c r="P63" s="101">
        <v>16371</v>
      </c>
      <c r="Q63" s="101">
        <v>16727</v>
      </c>
      <c r="R63" s="101">
        <v>19918</v>
      </c>
      <c r="S63" s="101">
        <v>19142</v>
      </c>
      <c r="T63" s="101">
        <v>19913</v>
      </c>
      <c r="U63" s="101">
        <v>21216</v>
      </c>
      <c r="V63" s="101">
        <v>20703</v>
      </c>
      <c r="W63" s="101">
        <v>23692</v>
      </c>
      <c r="X63" s="101">
        <v>36013</v>
      </c>
      <c r="Y63" s="101">
        <v>28527</v>
      </c>
      <c r="Z63" s="101">
        <f>39877</f>
        <v>39877</v>
      </c>
      <c r="AA63" s="101">
        <f>40168</f>
        <v>40168</v>
      </c>
      <c r="AB63" s="101">
        <f>29673</f>
        <v>29673</v>
      </c>
      <c r="AC63" s="101">
        <f>29489</f>
        <v>29489</v>
      </c>
      <c r="AD63" s="101">
        <f>31884</f>
        <v>31884</v>
      </c>
    </row>
    <row r="64" spans="1:30" x14ac:dyDescent="0.2">
      <c r="A64" s="102" t="s">
        <v>216</v>
      </c>
      <c r="B64" s="101"/>
      <c r="C64" s="101">
        <v>0</v>
      </c>
      <c r="D64" s="101"/>
      <c r="E64" s="101">
        <v>0</v>
      </c>
      <c r="F64" s="101"/>
      <c r="G64" s="101">
        <v>0</v>
      </c>
      <c r="H64" s="101"/>
      <c r="I64" s="101">
        <v>0</v>
      </c>
      <c r="J64" s="101"/>
      <c r="K64" s="101">
        <v>0</v>
      </c>
      <c r="L64" s="101"/>
      <c r="M64" s="101">
        <v>0</v>
      </c>
      <c r="N64" s="101"/>
      <c r="O64" s="101">
        <v>25649</v>
      </c>
      <c r="P64" s="101">
        <v>34141</v>
      </c>
      <c r="Q64" s="101">
        <v>26931</v>
      </c>
      <c r="R64" s="101">
        <v>40602</v>
      </c>
      <c r="S64" s="101">
        <v>36439</v>
      </c>
      <c r="T64" s="101">
        <v>33229</v>
      </c>
      <c r="U64" s="101">
        <v>28351</v>
      </c>
      <c r="V64" s="101">
        <v>22085</v>
      </c>
      <c r="W64" s="101">
        <v>14157</v>
      </c>
      <c r="X64" s="101">
        <v>14948</v>
      </c>
      <c r="Y64" s="101">
        <v>12045</v>
      </c>
      <c r="Z64" s="101">
        <v>13563</v>
      </c>
      <c r="AA64" s="101">
        <f>8597</f>
        <v>8597</v>
      </c>
      <c r="AB64" s="101">
        <f>12133</f>
        <v>12133</v>
      </c>
      <c r="AC64" s="101">
        <f>13446</f>
        <v>13446</v>
      </c>
      <c r="AD64" s="101">
        <f>14415</f>
        <v>14415</v>
      </c>
    </row>
    <row r="65" spans="1:30" x14ac:dyDescent="0.2">
      <c r="A65" s="6" t="s">
        <v>217</v>
      </c>
      <c r="B65" s="34">
        <v>1045</v>
      </c>
      <c r="C65" s="34">
        <v>1560</v>
      </c>
      <c r="D65" s="34">
        <v>1166</v>
      </c>
      <c r="E65" s="34">
        <v>580</v>
      </c>
      <c r="F65" s="34">
        <v>267</v>
      </c>
      <c r="G65" s="34">
        <v>1665</v>
      </c>
      <c r="H65" s="34">
        <v>1339</v>
      </c>
      <c r="I65" s="34">
        <v>2234</v>
      </c>
      <c r="J65" s="34">
        <v>1636</v>
      </c>
      <c r="K65" s="34">
        <v>3546</v>
      </c>
      <c r="L65" s="34">
        <v>1860</v>
      </c>
      <c r="M65" s="34">
        <v>1748</v>
      </c>
      <c r="N65" s="34">
        <v>1494</v>
      </c>
      <c r="O65" s="34">
        <v>1863</v>
      </c>
      <c r="P65" s="34">
        <v>1226</v>
      </c>
      <c r="Q65" s="34">
        <v>961</v>
      </c>
      <c r="R65" s="34">
        <v>677</v>
      </c>
      <c r="S65" s="34">
        <v>689</v>
      </c>
      <c r="T65" s="34">
        <v>622</v>
      </c>
      <c r="U65" s="34">
        <v>398</v>
      </c>
      <c r="V65" s="34">
        <v>865</v>
      </c>
      <c r="W65" s="34">
        <v>518</v>
      </c>
      <c r="X65" s="34">
        <v>1272</v>
      </c>
      <c r="Y65" s="34">
        <v>9058</v>
      </c>
      <c r="Z65" s="98">
        <v>8741</v>
      </c>
      <c r="AA65" s="98">
        <v>7915</v>
      </c>
      <c r="AB65" s="98">
        <f>8167</f>
        <v>8167</v>
      </c>
      <c r="AC65" s="98">
        <f>11960</f>
        <v>11960</v>
      </c>
      <c r="AD65" s="98">
        <f>13244</f>
        <v>13244</v>
      </c>
    </row>
    <row r="66" spans="1:30" x14ac:dyDescent="0.2">
      <c r="A66" s="6" t="s">
        <v>406</v>
      </c>
      <c r="B66" s="103" t="s">
        <v>407</v>
      </c>
      <c r="C66" s="103" t="s">
        <v>407</v>
      </c>
      <c r="D66" s="103" t="s">
        <v>407</v>
      </c>
      <c r="E66" s="103" t="s">
        <v>407</v>
      </c>
      <c r="F66" s="103" t="s">
        <v>407</v>
      </c>
      <c r="G66" s="103" t="s">
        <v>407</v>
      </c>
      <c r="H66" s="103" t="s">
        <v>407</v>
      </c>
      <c r="I66" s="103" t="s">
        <v>407</v>
      </c>
      <c r="J66" s="103" t="s">
        <v>407</v>
      </c>
      <c r="K66" s="103" t="s">
        <v>407</v>
      </c>
      <c r="L66" s="103" t="s">
        <v>407</v>
      </c>
      <c r="M66" s="103" t="s">
        <v>407</v>
      </c>
      <c r="N66" s="103" t="s">
        <v>407</v>
      </c>
      <c r="O66" s="103" t="s">
        <v>407</v>
      </c>
      <c r="P66" s="103" t="s">
        <v>407</v>
      </c>
      <c r="Q66" s="103" t="s">
        <v>407</v>
      </c>
      <c r="R66" s="103" t="s">
        <v>407</v>
      </c>
      <c r="S66" s="103" t="s">
        <v>407</v>
      </c>
      <c r="T66" s="103" t="s">
        <v>407</v>
      </c>
      <c r="U66" s="34">
        <v>183</v>
      </c>
      <c r="V66" s="34">
        <v>375</v>
      </c>
      <c r="W66" s="34">
        <v>158</v>
      </c>
      <c r="X66" s="34">
        <v>602</v>
      </c>
      <c r="Y66" s="34">
        <v>241</v>
      </c>
      <c r="Z66" s="98">
        <v>994</v>
      </c>
      <c r="AA66" s="98">
        <v>1308</v>
      </c>
      <c r="AB66" s="98">
        <f>463</f>
        <v>463</v>
      </c>
      <c r="AC66" s="98">
        <f>744</f>
        <v>744</v>
      </c>
      <c r="AD66" s="98">
        <f>1012</f>
        <v>1012</v>
      </c>
    </row>
    <row r="67" spans="1:30" x14ac:dyDescent="0.2">
      <c r="A67" s="47" t="s">
        <v>222</v>
      </c>
      <c r="B67" s="99">
        <v>16164</v>
      </c>
      <c r="C67" s="99">
        <v>17049</v>
      </c>
      <c r="D67" s="99">
        <v>19111</v>
      </c>
      <c r="E67" s="99">
        <v>21371</v>
      </c>
      <c r="F67" s="99">
        <v>21025</v>
      </c>
      <c r="G67" s="99">
        <v>27008</v>
      </c>
      <c r="H67" s="99">
        <v>38464</v>
      </c>
      <c r="I67" s="99">
        <v>27574</v>
      </c>
      <c r="J67" s="99">
        <v>25228</v>
      </c>
      <c r="K67" s="99">
        <v>35452</v>
      </c>
      <c r="L67" s="99">
        <v>44955</v>
      </c>
      <c r="M67" s="99">
        <v>41053</v>
      </c>
      <c r="N67" s="99">
        <v>47318</v>
      </c>
      <c r="O67" s="99">
        <v>45001</v>
      </c>
      <c r="P67" s="99">
        <v>53871</v>
      </c>
      <c r="Q67" s="99">
        <v>47972</v>
      </c>
      <c r="R67" s="99">
        <v>68426</v>
      </c>
      <c r="S67" s="99">
        <v>66704</v>
      </c>
      <c r="T67" s="99">
        <v>68925</v>
      </c>
      <c r="U67" s="99">
        <v>66017</v>
      </c>
      <c r="V67" s="78">
        <v>54013</v>
      </c>
      <c r="W67" s="78">
        <v>54831</v>
      </c>
      <c r="X67" s="78">
        <f>SUM(X61:X62)</f>
        <v>73803</v>
      </c>
      <c r="Y67" s="78">
        <v>68989</v>
      </c>
      <c r="Z67" s="78">
        <v>80524</v>
      </c>
      <c r="AA67" s="78">
        <v>94487</v>
      </c>
      <c r="AB67" s="78">
        <f>70617</f>
        <v>70617</v>
      </c>
      <c r="AC67" s="78">
        <f>SUM(AC61:AC62,AC65:AC66)</f>
        <v>100459</v>
      </c>
      <c r="AD67" s="78">
        <f>SUM(AD61:AD62,AD65:AD66)</f>
        <v>118754</v>
      </c>
    </row>
    <row r="68" spans="1:30" x14ac:dyDescent="0.2">
      <c r="A68" s="45" t="s">
        <v>223</v>
      </c>
      <c r="B68" s="79">
        <v>52851</v>
      </c>
      <c r="C68" s="79">
        <v>58784</v>
      </c>
      <c r="D68" s="79">
        <v>62352</v>
      </c>
      <c r="E68" s="79">
        <v>73516</v>
      </c>
      <c r="F68" s="79">
        <v>74411</v>
      </c>
      <c r="G68" s="79">
        <v>83570</v>
      </c>
      <c r="H68" s="79">
        <v>95562</v>
      </c>
      <c r="I68" s="79">
        <v>96280</v>
      </c>
      <c r="J68" s="79">
        <v>96152</v>
      </c>
      <c r="K68" s="79">
        <v>106283</v>
      </c>
      <c r="L68" s="79">
        <v>114870</v>
      </c>
      <c r="M68" s="79">
        <v>114141</v>
      </c>
      <c r="N68" s="79">
        <v>125699</v>
      </c>
      <c r="O68" s="79">
        <v>134813</v>
      </c>
      <c r="P68" s="79">
        <v>138127</v>
      </c>
      <c r="Q68" s="79">
        <v>124537</v>
      </c>
      <c r="R68" s="79">
        <v>183817</v>
      </c>
      <c r="S68" s="79">
        <v>171344</v>
      </c>
      <c r="T68" s="79">
        <v>162289</v>
      </c>
      <c r="U68" s="79">
        <v>186519</v>
      </c>
      <c r="V68" s="100">
        <v>204237</v>
      </c>
      <c r="W68" s="100">
        <v>222098</v>
      </c>
      <c r="X68" s="100">
        <f>X67+X58+X48</f>
        <v>254552</v>
      </c>
      <c r="Y68" s="100">
        <v>248045</v>
      </c>
      <c r="Z68" s="100">
        <v>251350</v>
      </c>
      <c r="AA68" s="100">
        <v>260391</v>
      </c>
      <c r="AB68" s="100">
        <f>274393</f>
        <v>274393</v>
      </c>
      <c r="AC68" s="100">
        <f>SUM(AC48,AC58,AC67)</f>
        <v>323330</v>
      </c>
      <c r="AD68" s="100">
        <f>SUM(AD48,AD58,AD67)</f>
        <v>348169</v>
      </c>
    </row>
    <row r="69" spans="1:30" x14ac:dyDescent="0.2">
      <c r="Y69" s="34"/>
    </row>
    <row r="70" spans="1:30" x14ac:dyDescent="0.2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C70" s="34"/>
      <c r="AD70" s="34"/>
    </row>
    <row r="73" spans="1:30" x14ac:dyDescent="0.2"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C73" s="34"/>
      <c r="AD73" s="34"/>
    </row>
  </sheetData>
  <hyperlinks>
    <hyperlink ref="A3" location="Contents!A1" display="Back to Contents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S75"/>
  <sheetViews>
    <sheetView showGridLines="0" topLeftCell="A52" zoomScaleNormal="100" workbookViewId="0">
      <pane xSplit="1" topLeftCell="AD1" activePane="topRight" state="frozen"/>
      <selection pane="topRight" activeCell="AL78" sqref="AL78"/>
    </sheetView>
  </sheetViews>
  <sheetFormatPr defaultColWidth="9.140625" defaultRowHeight="14.25" outlineLevelCol="1" x14ac:dyDescent="0.2"/>
  <cols>
    <col min="1" max="1" width="78.7109375" style="41" bestFit="1" customWidth="1"/>
    <col min="2" max="15" width="9.28515625" style="6" bestFit="1" customWidth="1"/>
    <col min="16" max="16" width="9.140625" style="6"/>
    <col min="17" max="36" width="9.140625" style="6" customWidth="1" outlineLevel="1"/>
    <col min="37" max="38" width="9.28515625" style="6" customWidth="1" outlineLevel="1"/>
    <col min="39" max="40" width="9.28515625" style="6" bestFit="1" customWidth="1" outlineLevel="1"/>
    <col min="41" max="42" width="10.28515625" style="6" bestFit="1" customWidth="1" outlineLevel="1"/>
    <col min="43" max="43" width="9.140625" style="41" outlineLevel="1"/>
    <col min="44" max="44" width="10.28515625" style="6" bestFit="1" customWidth="1" outlineLevel="1"/>
    <col min="45" max="45" width="9.140625" style="41" outlineLevel="1"/>
    <col min="46" max="16384" width="9.140625" style="41"/>
  </cols>
  <sheetData>
    <row r="2" spans="1:45" ht="18" x14ac:dyDescent="0.25">
      <c r="A2" s="54" t="s">
        <v>224</v>
      </c>
    </row>
    <row r="3" spans="1:45" x14ac:dyDescent="0.2">
      <c r="A3" s="35" t="s">
        <v>1</v>
      </c>
    </row>
    <row r="5" spans="1:45" x14ac:dyDescent="0.2">
      <c r="A5" s="36" t="s">
        <v>5</v>
      </c>
      <c r="B5" s="74">
        <v>2011</v>
      </c>
      <c r="C5" s="74">
        <v>2012</v>
      </c>
      <c r="D5" s="74">
        <v>2013</v>
      </c>
      <c r="E5" s="74">
        <v>2014</v>
      </c>
      <c r="F5" s="74">
        <v>2015</v>
      </c>
      <c r="G5" s="74">
        <v>2016</v>
      </c>
      <c r="H5" s="74">
        <v>2017</v>
      </c>
      <c r="I5" s="74">
        <v>2018</v>
      </c>
      <c r="J5" s="74">
        <v>2019</v>
      </c>
      <c r="K5" s="74">
        <v>2020</v>
      </c>
      <c r="L5" s="74">
        <v>2021</v>
      </c>
      <c r="M5" s="74">
        <v>2022</v>
      </c>
      <c r="N5" s="74">
        <v>2023</v>
      </c>
      <c r="O5" s="74">
        <v>2024</v>
      </c>
      <c r="P5" s="75"/>
      <c r="Q5" s="76" t="s">
        <v>116</v>
      </c>
      <c r="R5" s="76" t="s">
        <v>117</v>
      </c>
      <c r="S5" s="76" t="s">
        <v>118</v>
      </c>
      <c r="T5" s="76" t="s">
        <v>119</v>
      </c>
      <c r="U5" s="76" t="s">
        <v>120</v>
      </c>
      <c r="V5" s="76" t="s">
        <v>121</v>
      </c>
      <c r="W5" s="76" t="s">
        <v>122</v>
      </c>
      <c r="X5" s="76" t="s">
        <v>123</v>
      </c>
      <c r="Y5" s="76" t="s">
        <v>124</v>
      </c>
      <c r="Z5" s="76" t="s">
        <v>125</v>
      </c>
      <c r="AA5" s="76" t="s">
        <v>126</v>
      </c>
      <c r="AB5" s="76" t="s">
        <v>127</v>
      </c>
      <c r="AC5" s="76" t="s">
        <v>128</v>
      </c>
      <c r="AD5" s="76" t="s">
        <v>129</v>
      </c>
      <c r="AE5" s="76" t="s">
        <v>130</v>
      </c>
      <c r="AF5" s="76" t="s">
        <v>131</v>
      </c>
      <c r="AG5" s="76" t="s">
        <v>132</v>
      </c>
      <c r="AH5" s="76" t="s">
        <v>133</v>
      </c>
      <c r="AI5" s="77" t="s">
        <v>134</v>
      </c>
      <c r="AJ5" s="77" t="s">
        <v>135</v>
      </c>
      <c r="AK5" s="77" t="s">
        <v>291</v>
      </c>
      <c r="AL5" s="77" t="s">
        <v>293</v>
      </c>
      <c r="AM5" s="77" t="s">
        <v>306</v>
      </c>
      <c r="AN5" s="77" t="s">
        <v>311</v>
      </c>
      <c r="AO5" s="77" t="s">
        <v>395</v>
      </c>
      <c r="AP5" s="77" t="s">
        <v>403</v>
      </c>
      <c r="AQ5" s="77" t="s">
        <v>425</v>
      </c>
      <c r="AR5" s="77" t="s">
        <v>429</v>
      </c>
      <c r="AS5" s="77" t="s">
        <v>482</v>
      </c>
    </row>
    <row r="6" spans="1:45" x14ac:dyDescent="0.2">
      <c r="A6" s="5" t="s">
        <v>225</v>
      </c>
      <c r="AQ6" s="6"/>
      <c r="AS6" s="6"/>
    </row>
    <row r="7" spans="1:45" x14ac:dyDescent="0.2">
      <c r="A7" s="48" t="s">
        <v>161</v>
      </c>
      <c r="B7" s="104">
        <f>SUM(Q7:R7)</f>
        <v>7440</v>
      </c>
      <c r="C7" s="104">
        <f>SUM(S7:T7)</f>
        <v>5000</v>
      </c>
      <c r="D7" s="104">
        <f>SUM(U7:V7)</f>
        <v>6664</v>
      </c>
      <c r="E7" s="104">
        <f>SUM(W7:X7)</f>
        <v>8369</v>
      </c>
      <c r="F7" s="104">
        <f>SUM(Y7:Z7)</f>
        <v>5429</v>
      </c>
      <c r="G7" s="104">
        <f>SUM(AA7:AB7)</f>
        <v>4902</v>
      </c>
      <c r="H7" s="104">
        <f>SUM(AC7:AD7)</f>
        <v>7893</v>
      </c>
      <c r="I7" s="104">
        <f>SUM(AE7:AF7)</f>
        <v>-700</v>
      </c>
      <c r="J7" s="104">
        <f>SUM(AG7:AH7)</f>
        <v>186</v>
      </c>
      <c r="K7" s="105">
        <f>SUM(AI7:AJ7)</f>
        <v>2036</v>
      </c>
      <c r="L7" s="105">
        <f>SUM(AK7:AL7)</f>
        <v>3007</v>
      </c>
      <c r="M7" s="105">
        <f>SUM(AM7:AN7)</f>
        <v>13001</v>
      </c>
      <c r="N7" s="105">
        <v>-3370</v>
      </c>
      <c r="O7" s="105">
        <f>-6914</f>
        <v>-6914</v>
      </c>
      <c r="Q7" s="104">
        <v>2751</v>
      </c>
      <c r="R7" s="104">
        <v>4689</v>
      </c>
      <c r="S7" s="104">
        <v>2369</v>
      </c>
      <c r="T7" s="104">
        <v>2631</v>
      </c>
      <c r="U7" s="104">
        <v>3098</v>
      </c>
      <c r="V7" s="104">
        <v>3566</v>
      </c>
      <c r="W7" s="104">
        <v>927</v>
      </c>
      <c r="X7" s="104">
        <v>7442</v>
      </c>
      <c r="Y7" s="104">
        <v>2193</v>
      </c>
      <c r="Z7" s="104">
        <v>3236</v>
      </c>
      <c r="AA7" s="104">
        <v>1308</v>
      </c>
      <c r="AB7" s="104">
        <v>3594</v>
      </c>
      <c r="AC7" s="104">
        <v>2122</v>
      </c>
      <c r="AD7" s="104">
        <v>5771</v>
      </c>
      <c r="AE7" s="104">
        <v>-1981</v>
      </c>
      <c r="AF7" s="104">
        <v>1281</v>
      </c>
      <c r="AG7" s="104">
        <v>559</v>
      </c>
      <c r="AH7" s="104">
        <v>-373</v>
      </c>
      <c r="AI7" s="81">
        <v>-1771</v>
      </c>
      <c r="AJ7" s="81">
        <v>3807</v>
      </c>
      <c r="AK7" s="105">
        <v>1295</v>
      </c>
      <c r="AL7" s="105">
        <v>1712</v>
      </c>
      <c r="AM7" s="105">
        <v>11672</v>
      </c>
      <c r="AN7" s="105">
        <v>1329</v>
      </c>
      <c r="AO7" s="105">
        <v>-2119</v>
      </c>
      <c r="AP7" s="105">
        <f>N7-AO7</f>
        <v>-1251</v>
      </c>
      <c r="AQ7" s="105">
        <f>-1497</f>
        <v>-1497</v>
      </c>
      <c r="AR7" s="105">
        <f>O7-AQ7</f>
        <v>-5417</v>
      </c>
      <c r="AS7" s="105">
        <f>-8940</f>
        <v>-8940</v>
      </c>
    </row>
    <row r="8" spans="1:45" x14ac:dyDescent="0.2">
      <c r="A8" s="49"/>
      <c r="B8" s="34"/>
      <c r="C8" s="34"/>
      <c r="D8" s="34"/>
      <c r="E8" s="34"/>
      <c r="F8" s="34"/>
      <c r="G8" s="34"/>
      <c r="H8" s="34"/>
      <c r="I8" s="34"/>
      <c r="J8" s="34"/>
      <c r="K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Q8" s="6"/>
      <c r="AS8" s="6"/>
    </row>
    <row r="9" spans="1:45" x14ac:dyDescent="0.2">
      <c r="A9" s="50" t="s">
        <v>226</v>
      </c>
      <c r="B9" s="34"/>
      <c r="C9" s="34"/>
      <c r="D9" s="34"/>
      <c r="E9" s="34"/>
      <c r="F9" s="34"/>
      <c r="G9" s="34"/>
      <c r="H9" s="34"/>
      <c r="I9" s="34"/>
      <c r="J9" s="34"/>
      <c r="K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Q9" s="6"/>
      <c r="AS9" s="6"/>
    </row>
    <row r="10" spans="1:45" x14ac:dyDescent="0.2">
      <c r="A10" s="6" t="s">
        <v>167</v>
      </c>
      <c r="B10" s="34">
        <f t="shared" ref="B10:B44" si="0">SUM(Q10:R10)</f>
        <v>265</v>
      </c>
      <c r="C10" s="34">
        <f t="shared" ref="C10:C44" si="1">SUM(S10:T10)</f>
        <v>417</v>
      </c>
      <c r="D10" s="34">
        <f t="shared" ref="D10:D44" si="2">SUM(U10:V10)</f>
        <v>343</v>
      </c>
      <c r="E10" s="34">
        <f t="shared" ref="E10:E44" si="3">SUM(W10:X10)</f>
        <v>417</v>
      </c>
      <c r="F10" s="34">
        <f t="shared" ref="F10:F44" si="4">SUM(Y10:Z10)</f>
        <v>406</v>
      </c>
      <c r="G10" s="34">
        <f t="shared" ref="G10:G44" si="5">SUM(AA10:AB10)</f>
        <v>434</v>
      </c>
      <c r="H10" s="34">
        <f t="shared" ref="H10:H44" si="6">SUM(AC10:AD10)</f>
        <v>340</v>
      </c>
      <c r="I10" s="34">
        <f t="shared" ref="I10:I44" si="7">SUM(AE10:AF10)</f>
        <v>365</v>
      </c>
      <c r="J10" s="34">
        <f t="shared" ref="J10:J44" si="8">SUM(AG10:AH10)</f>
        <v>542</v>
      </c>
      <c r="K10" s="34">
        <f t="shared" ref="K10:K44" si="9">SUM(AI10:AJ10)</f>
        <v>481</v>
      </c>
      <c r="L10" s="34">
        <f>SUM(AK10:AL10)</f>
        <v>521</v>
      </c>
      <c r="M10" s="34">
        <f t="shared" ref="M10:O74" si="10">SUM(AM10:AN10)</f>
        <v>541</v>
      </c>
      <c r="N10" s="34">
        <v>797</v>
      </c>
      <c r="O10" s="34">
        <f>911</f>
        <v>911</v>
      </c>
      <c r="Q10" s="34">
        <v>127</v>
      </c>
      <c r="R10" s="34">
        <v>138</v>
      </c>
      <c r="S10" s="34">
        <v>209</v>
      </c>
      <c r="T10" s="34">
        <v>208</v>
      </c>
      <c r="U10" s="34">
        <v>168</v>
      </c>
      <c r="V10" s="34">
        <v>175</v>
      </c>
      <c r="W10" s="34">
        <v>204</v>
      </c>
      <c r="X10" s="34">
        <v>213</v>
      </c>
      <c r="Y10" s="34">
        <v>213</v>
      </c>
      <c r="Z10" s="34">
        <v>193</v>
      </c>
      <c r="AA10" s="34">
        <v>240</v>
      </c>
      <c r="AB10" s="34">
        <v>194</v>
      </c>
      <c r="AC10" s="34">
        <v>172</v>
      </c>
      <c r="AD10" s="34">
        <v>168</v>
      </c>
      <c r="AE10" s="34">
        <v>169</v>
      </c>
      <c r="AF10" s="34">
        <v>196</v>
      </c>
      <c r="AG10" s="34">
        <v>270</v>
      </c>
      <c r="AH10" s="34">
        <v>272</v>
      </c>
      <c r="AI10" s="34">
        <v>385</v>
      </c>
      <c r="AJ10" s="34">
        <v>96</v>
      </c>
      <c r="AK10" s="34">
        <v>233</v>
      </c>
      <c r="AL10" s="34">
        <v>288</v>
      </c>
      <c r="AM10" s="34">
        <v>273</v>
      </c>
      <c r="AN10" s="34">
        <v>268</v>
      </c>
      <c r="AO10" s="34">
        <f>403</f>
        <v>403</v>
      </c>
      <c r="AP10" s="34">
        <f t="shared" ref="AP10:AP70" si="11">N10-AO10</f>
        <v>394</v>
      </c>
      <c r="AQ10" s="34">
        <f>450</f>
        <v>450</v>
      </c>
      <c r="AR10" s="34">
        <f t="shared" ref="AR10:AR74" si="12">O10-AQ10</f>
        <v>461</v>
      </c>
      <c r="AS10" s="34">
        <f>459</f>
        <v>459</v>
      </c>
    </row>
    <row r="11" spans="1:45" x14ac:dyDescent="0.2">
      <c r="A11" s="6" t="s">
        <v>227</v>
      </c>
      <c r="B11" s="34">
        <f t="shared" si="0"/>
        <v>-92</v>
      </c>
      <c r="C11" s="34">
        <f t="shared" si="1"/>
        <v>-49</v>
      </c>
      <c r="D11" s="34">
        <f t="shared" si="2"/>
        <v>-15</v>
      </c>
      <c r="E11" s="34">
        <f t="shared" si="3"/>
        <v>-52</v>
      </c>
      <c r="F11" s="34">
        <f t="shared" si="4"/>
        <v>-65</v>
      </c>
      <c r="G11" s="34">
        <f t="shared" si="5"/>
        <v>-52</v>
      </c>
      <c r="H11" s="34">
        <f t="shared" si="6"/>
        <v>-113</v>
      </c>
      <c r="I11" s="34">
        <f t="shared" si="7"/>
        <v>8</v>
      </c>
      <c r="J11" s="34">
        <f t="shared" si="8"/>
        <v>-274</v>
      </c>
      <c r="K11" s="34">
        <f t="shared" si="9"/>
        <v>-51</v>
      </c>
      <c r="L11" s="34">
        <f>SUM(AK11:AL11)</f>
        <v>-162</v>
      </c>
      <c r="M11" s="34">
        <f t="shared" si="10"/>
        <v>90</v>
      </c>
      <c r="N11" s="34">
        <v>-214</v>
      </c>
      <c r="O11" s="34">
        <f>-282</f>
        <v>-282</v>
      </c>
      <c r="Q11" s="34">
        <v>-59</v>
      </c>
      <c r="R11" s="34">
        <v>-33</v>
      </c>
      <c r="S11" s="34">
        <v>-27</v>
      </c>
      <c r="T11" s="34">
        <v>-22</v>
      </c>
      <c r="U11" s="34">
        <v>-27</v>
      </c>
      <c r="V11" s="34">
        <v>12</v>
      </c>
      <c r="W11" s="34">
        <v>-46</v>
      </c>
      <c r="X11" s="34">
        <v>-6</v>
      </c>
      <c r="Y11" s="34">
        <v>20</v>
      </c>
      <c r="Z11" s="34">
        <v>-85</v>
      </c>
      <c r="AA11" s="34">
        <v>-7</v>
      </c>
      <c r="AB11" s="34">
        <v>-45</v>
      </c>
      <c r="AC11" s="34">
        <v>-51</v>
      </c>
      <c r="AD11" s="34">
        <v>-62</v>
      </c>
      <c r="AE11" s="34">
        <v>7</v>
      </c>
      <c r="AF11" s="34">
        <v>1</v>
      </c>
      <c r="AG11" s="34">
        <v>-14</v>
      </c>
      <c r="AH11" s="34">
        <v>-260</v>
      </c>
      <c r="AI11" s="34">
        <v>-25</v>
      </c>
      <c r="AJ11" s="34">
        <v>-26</v>
      </c>
      <c r="AK11" s="34">
        <v>-108</v>
      </c>
      <c r="AL11" s="34">
        <v>-54</v>
      </c>
      <c r="AM11" s="34">
        <v>60</v>
      </c>
      <c r="AN11" s="34">
        <v>30</v>
      </c>
      <c r="AO11" s="34">
        <v>-197</v>
      </c>
      <c r="AP11" s="34">
        <f t="shared" si="11"/>
        <v>-17</v>
      </c>
      <c r="AQ11" s="34">
        <f>-41</f>
        <v>-41</v>
      </c>
      <c r="AR11" s="34">
        <f t="shared" si="12"/>
        <v>-241</v>
      </c>
      <c r="AS11" s="34">
        <f>-54</f>
        <v>-54</v>
      </c>
    </row>
    <row r="12" spans="1:45" x14ac:dyDescent="0.2">
      <c r="A12" s="6" t="s">
        <v>228</v>
      </c>
      <c r="B12" s="34">
        <f t="shared" si="0"/>
        <v>0</v>
      </c>
      <c r="C12" s="34">
        <f t="shared" si="1"/>
        <v>0</v>
      </c>
      <c r="D12" s="34">
        <f t="shared" si="2"/>
        <v>0</v>
      </c>
      <c r="E12" s="34">
        <f t="shared" si="3"/>
        <v>0</v>
      </c>
      <c r="F12" s="34">
        <f t="shared" si="4"/>
        <v>0</v>
      </c>
      <c r="G12" s="34">
        <f t="shared" si="5"/>
        <v>-267</v>
      </c>
      <c r="H12" s="34">
        <f t="shared" si="6"/>
        <v>-27</v>
      </c>
      <c r="I12" s="34">
        <f t="shared" si="7"/>
        <v>0</v>
      </c>
      <c r="J12" s="34">
        <f t="shared" si="8"/>
        <v>-13</v>
      </c>
      <c r="K12" s="34">
        <f t="shared" si="9"/>
        <v>-103</v>
      </c>
      <c r="L12" s="34">
        <f t="shared" ref="L12:L43" si="13">SUM(AK12:AL12)</f>
        <v>-279</v>
      </c>
      <c r="M12" s="34">
        <f t="shared" si="10"/>
        <v>3</v>
      </c>
      <c r="N12" s="34">
        <v>0</v>
      </c>
      <c r="O12" s="34">
        <f>-14</f>
        <v>-14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-267</v>
      </c>
      <c r="AC12" s="34">
        <v>-27</v>
      </c>
      <c r="AD12" s="34">
        <v>0</v>
      </c>
      <c r="AE12" s="34">
        <v>0</v>
      </c>
      <c r="AF12" s="34">
        <v>0</v>
      </c>
      <c r="AG12" s="34">
        <v>0</v>
      </c>
      <c r="AH12" s="34">
        <v>-13</v>
      </c>
      <c r="AI12" s="34">
        <v>-23</v>
      </c>
      <c r="AJ12" s="34">
        <v>-80</v>
      </c>
      <c r="AK12" s="34">
        <v>-178</v>
      </c>
      <c r="AL12" s="34">
        <v>-101</v>
      </c>
      <c r="AM12" s="34">
        <v>0</v>
      </c>
      <c r="AN12" s="34">
        <v>3</v>
      </c>
      <c r="AO12" s="34">
        <v>23</v>
      </c>
      <c r="AP12" s="34">
        <f t="shared" si="11"/>
        <v>-23</v>
      </c>
      <c r="AQ12" s="34">
        <f>-39</f>
        <v>-39</v>
      </c>
      <c r="AR12" s="34">
        <f t="shared" si="12"/>
        <v>25</v>
      </c>
      <c r="AS12" s="34">
        <f>-9</f>
        <v>-9</v>
      </c>
    </row>
    <row r="13" spans="1:45" x14ac:dyDescent="0.2">
      <c r="A13" s="6" t="s">
        <v>229</v>
      </c>
      <c r="B13" s="34">
        <f t="shared" si="0"/>
        <v>0</v>
      </c>
      <c r="C13" s="34">
        <f t="shared" si="1"/>
        <v>0</v>
      </c>
      <c r="D13" s="34">
        <f t="shared" si="2"/>
        <v>0</v>
      </c>
      <c r="E13" s="34">
        <f t="shared" si="3"/>
        <v>0</v>
      </c>
      <c r="F13" s="34">
        <f t="shared" si="4"/>
        <v>0</v>
      </c>
      <c r="G13" s="34">
        <f t="shared" si="5"/>
        <v>0</v>
      </c>
      <c r="H13" s="34">
        <f t="shared" si="6"/>
        <v>0</v>
      </c>
      <c r="I13" s="34">
        <f t="shared" si="7"/>
        <v>0</v>
      </c>
      <c r="J13" s="34">
        <f t="shared" si="8"/>
        <v>0</v>
      </c>
      <c r="K13" s="34">
        <f t="shared" si="9"/>
        <v>200</v>
      </c>
      <c r="L13" s="34">
        <f t="shared" si="13"/>
        <v>205</v>
      </c>
      <c r="M13" s="34">
        <f t="shared" si="10"/>
        <v>-51</v>
      </c>
      <c r="N13" s="34">
        <v>84</v>
      </c>
      <c r="O13" s="34">
        <f>-308</f>
        <v>-308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200</v>
      </c>
      <c r="AK13" s="34">
        <v>6</v>
      </c>
      <c r="AL13" s="34">
        <v>199</v>
      </c>
      <c r="AM13" s="34">
        <v>-55</v>
      </c>
      <c r="AN13" s="34">
        <v>4</v>
      </c>
      <c r="AO13" s="34">
        <f>0</f>
        <v>0</v>
      </c>
      <c r="AP13" s="34">
        <f t="shared" si="11"/>
        <v>84</v>
      </c>
      <c r="AQ13" s="34">
        <f>-6</f>
        <v>-6</v>
      </c>
      <c r="AR13" s="34">
        <f t="shared" si="12"/>
        <v>-302</v>
      </c>
      <c r="AS13" s="34">
        <f>-31</f>
        <v>-31</v>
      </c>
    </row>
    <row r="14" spans="1:45" x14ac:dyDescent="0.2">
      <c r="A14" s="6" t="s">
        <v>230</v>
      </c>
      <c r="B14" s="34">
        <f t="shared" si="0"/>
        <v>0</v>
      </c>
      <c r="C14" s="34">
        <f t="shared" si="1"/>
        <v>0</v>
      </c>
      <c r="D14" s="34">
        <f t="shared" si="2"/>
        <v>0</v>
      </c>
      <c r="E14" s="34">
        <f t="shared" si="3"/>
        <v>280</v>
      </c>
      <c r="F14" s="34">
        <f t="shared" si="4"/>
        <v>215</v>
      </c>
      <c r="G14" s="34">
        <f t="shared" si="5"/>
        <v>-41</v>
      </c>
      <c r="H14" s="34">
        <f t="shared" si="6"/>
        <v>0</v>
      </c>
      <c r="I14" s="34">
        <f t="shared" si="7"/>
        <v>0</v>
      </c>
      <c r="J14" s="34">
        <f t="shared" si="8"/>
        <v>0</v>
      </c>
      <c r="K14" s="34">
        <f t="shared" si="9"/>
        <v>0</v>
      </c>
      <c r="L14" s="34">
        <f t="shared" si="13"/>
        <v>0</v>
      </c>
      <c r="M14" s="34">
        <f t="shared" si="10"/>
        <v>0</v>
      </c>
      <c r="N14" s="34">
        <f t="shared" si="10"/>
        <v>0</v>
      </c>
      <c r="O14" s="34">
        <f>-169</f>
        <v>-169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60</v>
      </c>
      <c r="X14" s="34">
        <v>220</v>
      </c>
      <c r="Y14" s="34">
        <v>166</v>
      </c>
      <c r="Z14" s="34">
        <v>49</v>
      </c>
      <c r="AA14" s="34">
        <v>27</v>
      </c>
      <c r="AB14" s="34">
        <v>-68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f t="shared" si="11"/>
        <v>0</v>
      </c>
      <c r="AQ14" s="34">
        <f>0</f>
        <v>0</v>
      </c>
      <c r="AR14" s="34">
        <f t="shared" si="12"/>
        <v>-169</v>
      </c>
      <c r="AS14" s="34">
        <f>0</f>
        <v>0</v>
      </c>
    </row>
    <row r="15" spans="1:45" x14ac:dyDescent="0.2">
      <c r="A15" s="6" t="s">
        <v>432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>
        <f>168</f>
        <v>168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>
        <v>0</v>
      </c>
      <c r="AR15" s="34">
        <f t="shared" si="12"/>
        <v>168</v>
      </c>
      <c r="AS15" s="34">
        <f>28</f>
        <v>28</v>
      </c>
    </row>
    <row r="16" spans="1:45" x14ac:dyDescent="0.2">
      <c r="A16" s="6" t="s">
        <v>231</v>
      </c>
      <c r="B16" s="34">
        <f t="shared" si="0"/>
        <v>0</v>
      </c>
      <c r="C16" s="34">
        <f t="shared" si="1"/>
        <v>0</v>
      </c>
      <c r="D16" s="34">
        <f t="shared" si="2"/>
        <v>0</v>
      </c>
      <c r="E16" s="34">
        <f t="shared" si="3"/>
        <v>466</v>
      </c>
      <c r="F16" s="34">
        <f t="shared" si="4"/>
        <v>514</v>
      </c>
      <c r="G16" s="34">
        <f t="shared" si="5"/>
        <v>430</v>
      </c>
      <c r="H16" s="34">
        <f t="shared" si="6"/>
        <v>819</v>
      </c>
      <c r="I16" s="34">
        <f t="shared" si="7"/>
        <v>450</v>
      </c>
      <c r="J16" s="34">
        <f t="shared" si="8"/>
        <v>1287</v>
      </c>
      <c r="K16" s="34">
        <f t="shared" si="9"/>
        <v>676</v>
      </c>
      <c r="L16" s="34">
        <f t="shared" si="13"/>
        <v>2054</v>
      </c>
      <c r="M16" s="34">
        <f t="shared" si="10"/>
        <v>994</v>
      </c>
      <c r="N16" s="34">
        <v>-34</v>
      </c>
      <c r="O16" s="34">
        <f>863</f>
        <v>863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85</v>
      </c>
      <c r="X16" s="34">
        <v>381</v>
      </c>
      <c r="Y16" s="34">
        <v>30</v>
      </c>
      <c r="Z16" s="34">
        <v>484</v>
      </c>
      <c r="AA16" s="34">
        <v>290</v>
      </c>
      <c r="AB16" s="34">
        <v>140</v>
      </c>
      <c r="AC16" s="34">
        <v>170</v>
      </c>
      <c r="AD16" s="34">
        <v>649</v>
      </c>
      <c r="AE16" s="34">
        <v>1524</v>
      </c>
      <c r="AF16" s="34">
        <v>-1074</v>
      </c>
      <c r="AG16" s="34">
        <v>458</v>
      </c>
      <c r="AH16" s="34">
        <v>829</v>
      </c>
      <c r="AI16" s="34">
        <v>319</v>
      </c>
      <c r="AJ16" s="34">
        <v>357</v>
      </c>
      <c r="AK16" s="34">
        <v>1803</v>
      </c>
      <c r="AL16" s="34">
        <v>251</v>
      </c>
      <c r="AM16" s="34">
        <v>-842</v>
      </c>
      <c r="AN16" s="34">
        <v>1836</v>
      </c>
      <c r="AO16" s="34">
        <v>124</v>
      </c>
      <c r="AP16" s="34">
        <f t="shared" si="11"/>
        <v>-158</v>
      </c>
      <c r="AQ16" s="34">
        <f>1374</f>
        <v>1374</v>
      </c>
      <c r="AR16" s="34">
        <f t="shared" si="12"/>
        <v>-511</v>
      </c>
      <c r="AS16" s="34">
        <f>-2409</f>
        <v>-2409</v>
      </c>
    </row>
    <row r="17" spans="1:45" x14ac:dyDescent="0.2">
      <c r="A17" s="6" t="s">
        <v>232</v>
      </c>
      <c r="B17" s="34">
        <f t="shared" si="0"/>
        <v>0</v>
      </c>
      <c r="C17" s="34">
        <f t="shared" si="1"/>
        <v>0</v>
      </c>
      <c r="D17" s="34">
        <f t="shared" si="2"/>
        <v>0</v>
      </c>
      <c r="E17" s="34">
        <f t="shared" si="3"/>
        <v>0</v>
      </c>
      <c r="F17" s="34">
        <f t="shared" si="4"/>
        <v>0</v>
      </c>
      <c r="G17" s="34">
        <f t="shared" si="5"/>
        <v>0</v>
      </c>
      <c r="H17" s="34">
        <f t="shared" si="6"/>
        <v>673</v>
      </c>
      <c r="I17" s="34">
        <f t="shared" si="7"/>
        <v>900</v>
      </c>
      <c r="J17" s="34">
        <f t="shared" si="8"/>
        <v>578</v>
      </c>
      <c r="K17" s="34">
        <f t="shared" si="9"/>
        <v>418</v>
      </c>
      <c r="L17" s="34">
        <f t="shared" si="13"/>
        <v>327</v>
      </c>
      <c r="M17" s="34">
        <f t="shared" si="10"/>
        <v>898</v>
      </c>
      <c r="N17" s="34">
        <v>829</v>
      </c>
      <c r="O17" s="34">
        <f>547</f>
        <v>547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244</v>
      </c>
      <c r="AD17" s="34">
        <v>429</v>
      </c>
      <c r="AE17" s="34">
        <v>212</v>
      </c>
      <c r="AF17" s="34">
        <v>688</v>
      </c>
      <c r="AG17" s="34">
        <v>180</v>
      </c>
      <c r="AH17" s="34">
        <v>398</v>
      </c>
      <c r="AI17" s="34">
        <v>126</v>
      </c>
      <c r="AJ17" s="34">
        <v>292</v>
      </c>
      <c r="AK17" s="34">
        <v>135</v>
      </c>
      <c r="AL17" s="34">
        <v>192</v>
      </c>
      <c r="AM17" s="34">
        <v>75</v>
      </c>
      <c r="AN17" s="34">
        <v>823</v>
      </c>
      <c r="AO17" s="34">
        <v>633</v>
      </c>
      <c r="AP17" s="34">
        <f t="shared" si="11"/>
        <v>196</v>
      </c>
      <c r="AQ17" s="34">
        <f>244</f>
        <v>244</v>
      </c>
      <c r="AR17" s="34">
        <f t="shared" si="12"/>
        <v>303</v>
      </c>
      <c r="AS17" s="34">
        <f>153</f>
        <v>153</v>
      </c>
    </row>
    <row r="18" spans="1:45" x14ac:dyDescent="0.2">
      <c r="A18" s="6" t="s">
        <v>294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f t="shared" si="13"/>
        <v>16</v>
      </c>
      <c r="M18" s="34">
        <f t="shared" si="10"/>
        <v>37</v>
      </c>
      <c r="N18" s="34">
        <v>-66</v>
      </c>
      <c r="O18" s="34">
        <f>4991</f>
        <v>4991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>
        <v>16</v>
      </c>
      <c r="AM18" s="34">
        <v>38</v>
      </c>
      <c r="AN18" s="34">
        <v>-1</v>
      </c>
      <c r="AO18" s="34">
        <v>-17</v>
      </c>
      <c r="AP18" s="34">
        <f t="shared" si="11"/>
        <v>-49</v>
      </c>
      <c r="AQ18" s="34">
        <f>1470</f>
        <v>1470</v>
      </c>
      <c r="AR18" s="34">
        <f t="shared" si="12"/>
        <v>3521</v>
      </c>
      <c r="AS18" s="34">
        <f>504</f>
        <v>504</v>
      </c>
    </row>
    <row r="19" spans="1:45" x14ac:dyDescent="0.2">
      <c r="A19" s="6" t="s">
        <v>233</v>
      </c>
      <c r="B19" s="34">
        <f t="shared" si="0"/>
        <v>0</v>
      </c>
      <c r="C19" s="34">
        <f t="shared" si="1"/>
        <v>0</v>
      </c>
      <c r="D19" s="34">
        <f t="shared" si="2"/>
        <v>0</v>
      </c>
      <c r="E19" s="34">
        <f t="shared" si="3"/>
        <v>0</v>
      </c>
      <c r="F19" s="34">
        <f t="shared" si="4"/>
        <v>0</v>
      </c>
      <c r="G19" s="34">
        <f t="shared" si="5"/>
        <v>0</v>
      </c>
      <c r="H19" s="34">
        <f t="shared" si="6"/>
        <v>221</v>
      </c>
      <c r="I19" s="34">
        <f t="shared" si="7"/>
        <v>846</v>
      </c>
      <c r="J19" s="34">
        <f t="shared" si="8"/>
        <v>0</v>
      </c>
      <c r="K19" s="34">
        <f t="shared" si="9"/>
        <v>0</v>
      </c>
      <c r="L19" s="34">
        <f t="shared" si="13"/>
        <v>0</v>
      </c>
      <c r="M19" s="34">
        <f t="shared" si="10"/>
        <v>0</v>
      </c>
      <c r="N19" s="34">
        <f t="shared" si="10"/>
        <v>0</v>
      </c>
      <c r="O19" s="34">
        <f>0</f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221</v>
      </c>
      <c r="AE19" s="34">
        <v>846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f t="shared" si="11"/>
        <v>0</v>
      </c>
      <c r="AQ19" s="34">
        <f>0</f>
        <v>0</v>
      </c>
      <c r="AR19" s="34">
        <f t="shared" si="12"/>
        <v>0</v>
      </c>
      <c r="AS19" s="34">
        <f>0</f>
        <v>0</v>
      </c>
    </row>
    <row r="20" spans="1:45" x14ac:dyDescent="0.2">
      <c r="A20" s="6" t="s">
        <v>292</v>
      </c>
      <c r="B20" s="34">
        <f t="shared" si="0"/>
        <v>1</v>
      </c>
      <c r="C20" s="34">
        <f t="shared" si="1"/>
        <v>28</v>
      </c>
      <c r="D20" s="34">
        <f t="shared" si="2"/>
        <v>0</v>
      </c>
      <c r="E20" s="34">
        <f t="shared" si="3"/>
        <v>0</v>
      </c>
      <c r="F20" s="34">
        <f t="shared" si="4"/>
        <v>0</v>
      </c>
      <c r="G20" s="34">
        <f t="shared" si="5"/>
        <v>0</v>
      </c>
      <c r="H20" s="34">
        <f t="shared" si="6"/>
        <v>0</v>
      </c>
      <c r="I20" s="34">
        <f t="shared" si="7"/>
        <v>0</v>
      </c>
      <c r="J20" s="34">
        <f t="shared" si="8"/>
        <v>-87</v>
      </c>
      <c r="K20" s="34">
        <f t="shared" si="9"/>
        <v>0</v>
      </c>
      <c r="L20" s="34">
        <f t="shared" si="13"/>
        <v>7</v>
      </c>
      <c r="M20" s="34">
        <f t="shared" si="10"/>
        <v>2</v>
      </c>
      <c r="N20" s="34">
        <v>-14</v>
      </c>
      <c r="O20" s="34">
        <f>65</f>
        <v>65</v>
      </c>
      <c r="Q20" s="34">
        <v>1</v>
      </c>
      <c r="R20" s="34">
        <v>0</v>
      </c>
      <c r="S20" s="34">
        <v>0</v>
      </c>
      <c r="T20" s="34">
        <v>28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-87</v>
      </c>
      <c r="AI20" s="34">
        <v>0</v>
      </c>
      <c r="AJ20" s="34">
        <v>0</v>
      </c>
      <c r="AK20" s="34">
        <v>20</v>
      </c>
      <c r="AL20" s="34">
        <v>-13</v>
      </c>
      <c r="AM20" s="34">
        <v>0</v>
      </c>
      <c r="AN20" s="34">
        <v>2</v>
      </c>
      <c r="AO20" s="34">
        <v>0</v>
      </c>
      <c r="AP20" s="34">
        <f t="shared" si="11"/>
        <v>-14</v>
      </c>
      <c r="AQ20" s="34">
        <f>0</f>
        <v>0</v>
      </c>
      <c r="AR20" s="34">
        <f t="shared" si="12"/>
        <v>65</v>
      </c>
      <c r="AS20" s="34">
        <f>0</f>
        <v>0</v>
      </c>
    </row>
    <row r="21" spans="1:45" x14ac:dyDescent="0.2">
      <c r="A21" s="6" t="s">
        <v>234</v>
      </c>
      <c r="B21" s="34">
        <f t="shared" si="0"/>
        <v>-24</v>
      </c>
      <c r="C21" s="34">
        <f t="shared" si="1"/>
        <v>0</v>
      </c>
      <c r="D21" s="34">
        <f t="shared" si="2"/>
        <v>0</v>
      </c>
      <c r="E21" s="34">
        <f t="shared" si="3"/>
        <v>0</v>
      </c>
      <c r="F21" s="34">
        <f t="shared" si="4"/>
        <v>0</v>
      </c>
      <c r="G21" s="34">
        <f t="shared" si="5"/>
        <v>0</v>
      </c>
      <c r="H21" s="34">
        <f t="shared" si="6"/>
        <v>0</v>
      </c>
      <c r="I21" s="34">
        <f t="shared" si="7"/>
        <v>0</v>
      </c>
      <c r="J21" s="34">
        <f t="shared" si="8"/>
        <v>0</v>
      </c>
      <c r="K21" s="34">
        <f t="shared" si="9"/>
        <v>0</v>
      </c>
      <c r="L21" s="34">
        <f t="shared" si="13"/>
        <v>0</v>
      </c>
      <c r="M21" s="34">
        <f t="shared" si="10"/>
        <v>0</v>
      </c>
      <c r="N21" s="34">
        <f t="shared" si="10"/>
        <v>0</v>
      </c>
      <c r="O21" s="34">
        <f>0</f>
        <v>0</v>
      </c>
      <c r="Q21" s="34">
        <v>-24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f t="shared" si="11"/>
        <v>0</v>
      </c>
      <c r="AQ21" s="34">
        <f>0</f>
        <v>0</v>
      </c>
      <c r="AR21" s="34">
        <f t="shared" si="12"/>
        <v>0</v>
      </c>
      <c r="AS21" s="34">
        <f>0</f>
        <v>0</v>
      </c>
    </row>
    <row r="22" spans="1:45" x14ac:dyDescent="0.2">
      <c r="A22" s="6" t="s">
        <v>397</v>
      </c>
      <c r="B22" s="34">
        <f t="shared" ref="B22" si="14">SUM(Q22:R22)</f>
        <v>0</v>
      </c>
      <c r="C22" s="34">
        <f t="shared" ref="C22" si="15">SUM(S22:T22)</f>
        <v>0</v>
      </c>
      <c r="D22" s="34">
        <f t="shared" ref="D22" si="16">SUM(U22:V22)</f>
        <v>0</v>
      </c>
      <c r="E22" s="34">
        <f t="shared" ref="E22" si="17">SUM(W22:X22)</f>
        <v>0</v>
      </c>
      <c r="F22" s="34">
        <f t="shared" ref="F22" si="18">SUM(Y22:Z22)</f>
        <v>0</v>
      </c>
      <c r="G22" s="34">
        <f t="shared" ref="G22" si="19">SUM(AA22:AB22)</f>
        <v>0</v>
      </c>
      <c r="H22" s="34">
        <f t="shared" ref="H22" si="20">SUM(AC22:AD22)</f>
        <v>0</v>
      </c>
      <c r="I22" s="34">
        <f t="shared" ref="I22" si="21">SUM(AE22:AF22)</f>
        <v>0</v>
      </c>
      <c r="J22" s="34">
        <f t="shared" ref="J22" si="22">SUM(AG22:AH22)</f>
        <v>0</v>
      </c>
      <c r="K22" s="34">
        <f t="shared" ref="K22" si="23">SUM(AI22:AJ22)</f>
        <v>0</v>
      </c>
      <c r="L22" s="34">
        <f t="shared" ref="L22" si="24">SUM(AK22:AL22)</f>
        <v>0</v>
      </c>
      <c r="M22" s="34">
        <f t="shared" ref="M22" si="25">SUM(AM22:AN22)</f>
        <v>0</v>
      </c>
      <c r="N22" s="34">
        <v>2535</v>
      </c>
      <c r="O22" s="34">
        <f>484</f>
        <v>484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612</v>
      </c>
      <c r="AP22" s="34">
        <f t="shared" si="11"/>
        <v>1923</v>
      </c>
      <c r="AQ22" s="34">
        <f>-3</f>
        <v>-3</v>
      </c>
      <c r="AR22" s="34">
        <f t="shared" si="12"/>
        <v>487</v>
      </c>
      <c r="AS22" s="34">
        <f>279</f>
        <v>279</v>
      </c>
    </row>
    <row r="23" spans="1:45" x14ac:dyDescent="0.2">
      <c r="A23" s="6" t="s">
        <v>433</v>
      </c>
      <c r="B23" s="34">
        <f>0</f>
        <v>0</v>
      </c>
      <c r="C23" s="34">
        <f>0</f>
        <v>0</v>
      </c>
      <c r="D23" s="34">
        <f>0</f>
        <v>0</v>
      </c>
      <c r="E23" s="34">
        <f>0</f>
        <v>0</v>
      </c>
      <c r="F23" s="34">
        <f>0</f>
        <v>0</v>
      </c>
      <c r="G23" s="34">
        <f>0</f>
        <v>0</v>
      </c>
      <c r="H23" s="34">
        <f>0</f>
        <v>0</v>
      </c>
      <c r="I23" s="34">
        <f>0</f>
        <v>0</v>
      </c>
      <c r="J23" s="34">
        <f>0</f>
        <v>0</v>
      </c>
      <c r="K23" s="34">
        <f>0</f>
        <v>0</v>
      </c>
      <c r="L23" s="34">
        <f>0</f>
        <v>0</v>
      </c>
      <c r="M23" s="34">
        <f>0</f>
        <v>0</v>
      </c>
      <c r="N23" s="34">
        <f>0</f>
        <v>0</v>
      </c>
      <c r="O23" s="34">
        <f>-420</f>
        <v>-420</v>
      </c>
      <c r="Q23" s="34">
        <f>0</f>
        <v>0</v>
      </c>
      <c r="R23" s="34">
        <f>0</f>
        <v>0</v>
      </c>
      <c r="S23" s="34">
        <f>0</f>
        <v>0</v>
      </c>
      <c r="T23" s="34">
        <f>0</f>
        <v>0</v>
      </c>
      <c r="U23" s="34">
        <f>0</f>
        <v>0</v>
      </c>
      <c r="V23" s="34">
        <f>0</f>
        <v>0</v>
      </c>
      <c r="W23" s="34">
        <f>0</f>
        <v>0</v>
      </c>
      <c r="X23" s="34">
        <f>0</f>
        <v>0</v>
      </c>
      <c r="Y23" s="34">
        <f>0</f>
        <v>0</v>
      </c>
      <c r="Z23" s="34">
        <f>0</f>
        <v>0</v>
      </c>
      <c r="AA23" s="34">
        <f>0</f>
        <v>0</v>
      </c>
      <c r="AB23" s="34">
        <f>0</f>
        <v>0</v>
      </c>
      <c r="AC23" s="34">
        <f>0</f>
        <v>0</v>
      </c>
      <c r="AD23" s="34">
        <f>0</f>
        <v>0</v>
      </c>
      <c r="AE23" s="34">
        <f>0</f>
        <v>0</v>
      </c>
      <c r="AF23" s="34">
        <f>0</f>
        <v>0</v>
      </c>
      <c r="AG23" s="34">
        <f>0</f>
        <v>0</v>
      </c>
      <c r="AH23" s="34">
        <f>0</f>
        <v>0</v>
      </c>
      <c r="AI23" s="34">
        <f>0</f>
        <v>0</v>
      </c>
      <c r="AJ23" s="34">
        <f>0</f>
        <v>0</v>
      </c>
      <c r="AK23" s="34">
        <f>0</f>
        <v>0</v>
      </c>
      <c r="AL23" s="34">
        <f>0</f>
        <v>0</v>
      </c>
      <c r="AM23" s="34">
        <f>0</f>
        <v>0</v>
      </c>
      <c r="AN23" s="34">
        <f>0</f>
        <v>0</v>
      </c>
      <c r="AO23" s="34">
        <f>0</f>
        <v>0</v>
      </c>
      <c r="AP23" s="34">
        <f>0</f>
        <v>0</v>
      </c>
      <c r="AQ23" s="34">
        <f>0</f>
        <v>0</v>
      </c>
      <c r="AR23" s="34">
        <f t="shared" si="12"/>
        <v>-420</v>
      </c>
      <c r="AS23" s="34">
        <f>-43</f>
        <v>-43</v>
      </c>
    </row>
    <row r="24" spans="1:45" x14ac:dyDescent="0.2">
      <c r="A24" s="6" t="s">
        <v>484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>
        <f>0</f>
        <v>0</v>
      </c>
      <c r="AR24" s="34"/>
      <c r="AS24" s="34">
        <f>-24</f>
        <v>-24</v>
      </c>
    </row>
    <row r="25" spans="1:45" x14ac:dyDescent="0.2">
      <c r="A25" s="6" t="s">
        <v>312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>
        <f t="shared" si="10"/>
        <v>-135</v>
      </c>
      <c r="N25" s="34">
        <v>0</v>
      </c>
      <c r="O25" s="34">
        <f>0</f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-135</v>
      </c>
      <c r="AO25" s="34">
        <v>0</v>
      </c>
      <c r="AP25" s="34">
        <f t="shared" si="11"/>
        <v>0</v>
      </c>
      <c r="AQ25" s="34">
        <f>0</f>
        <v>0</v>
      </c>
      <c r="AR25" s="34">
        <f t="shared" si="12"/>
        <v>0</v>
      </c>
      <c r="AS25" s="34">
        <f>0</f>
        <v>0</v>
      </c>
    </row>
    <row r="26" spans="1:45" x14ac:dyDescent="0.2">
      <c r="A26" s="6" t="s">
        <v>151</v>
      </c>
      <c r="B26" s="34">
        <f t="shared" si="0"/>
        <v>0</v>
      </c>
      <c r="C26" s="34">
        <f t="shared" si="1"/>
        <v>0</v>
      </c>
      <c r="D26" s="34">
        <f t="shared" si="2"/>
        <v>0</v>
      </c>
      <c r="E26" s="34">
        <f t="shared" si="3"/>
        <v>0</v>
      </c>
      <c r="F26" s="34">
        <f t="shared" si="4"/>
        <v>0</v>
      </c>
      <c r="G26" s="34">
        <f t="shared" si="5"/>
        <v>0</v>
      </c>
      <c r="H26" s="34">
        <f t="shared" si="6"/>
        <v>0</v>
      </c>
      <c r="I26" s="34">
        <f t="shared" si="7"/>
        <v>0</v>
      </c>
      <c r="J26" s="34">
        <f t="shared" si="8"/>
        <v>-729</v>
      </c>
      <c r="K26" s="34">
        <f t="shared" si="9"/>
        <v>0</v>
      </c>
      <c r="L26" s="34">
        <f t="shared" si="13"/>
        <v>0</v>
      </c>
      <c r="M26" s="34">
        <f t="shared" si="10"/>
        <v>-12038</v>
      </c>
      <c r="N26" s="34">
        <f t="shared" si="10"/>
        <v>0</v>
      </c>
      <c r="O26" s="34">
        <f>0</f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-729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-12038</v>
      </c>
      <c r="AN26" s="34">
        <v>0</v>
      </c>
      <c r="AO26" s="34">
        <v>0</v>
      </c>
      <c r="AP26" s="34">
        <f t="shared" si="11"/>
        <v>0</v>
      </c>
      <c r="AQ26" s="34">
        <f>0</f>
        <v>0</v>
      </c>
      <c r="AR26" s="34">
        <f t="shared" si="12"/>
        <v>0</v>
      </c>
      <c r="AS26" s="34">
        <f>0</f>
        <v>0</v>
      </c>
    </row>
    <row r="27" spans="1:45" x14ac:dyDescent="0.2">
      <c r="A27" s="6" t="s">
        <v>235</v>
      </c>
      <c r="B27" s="34">
        <f t="shared" si="0"/>
        <v>0</v>
      </c>
      <c r="C27" s="34">
        <f t="shared" si="1"/>
        <v>0</v>
      </c>
      <c r="D27" s="34">
        <f t="shared" si="2"/>
        <v>0</v>
      </c>
      <c r="E27" s="34">
        <f t="shared" si="3"/>
        <v>0</v>
      </c>
      <c r="F27" s="34">
        <f t="shared" si="4"/>
        <v>0</v>
      </c>
      <c r="G27" s="34">
        <f t="shared" si="5"/>
        <v>0</v>
      </c>
      <c r="H27" s="34">
        <f t="shared" si="6"/>
        <v>0</v>
      </c>
      <c r="I27" s="34">
        <f t="shared" si="7"/>
        <v>0</v>
      </c>
      <c r="J27" s="34">
        <f t="shared" si="8"/>
        <v>-1703</v>
      </c>
      <c r="K27" s="34">
        <f t="shared" si="9"/>
        <v>-1210</v>
      </c>
      <c r="L27" s="34">
        <f t="shared" si="13"/>
        <v>-3003</v>
      </c>
      <c r="M27" s="34">
        <f t="shared" si="10"/>
        <v>-324</v>
      </c>
      <c r="N27" s="34">
        <v>-157</v>
      </c>
      <c r="O27" s="34">
        <f>-1</f>
        <v>-1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-1703</v>
      </c>
      <c r="AI27" s="34">
        <v>0</v>
      </c>
      <c r="AJ27" s="34">
        <v>-1210</v>
      </c>
      <c r="AK27" s="34">
        <v>-2759</v>
      </c>
      <c r="AL27" s="34">
        <v>-244</v>
      </c>
      <c r="AM27" s="34">
        <v>-121</v>
      </c>
      <c r="AN27" s="34">
        <v>-203</v>
      </c>
      <c r="AO27" s="34">
        <v>-87</v>
      </c>
      <c r="AP27" s="34">
        <f t="shared" si="11"/>
        <v>-70</v>
      </c>
      <c r="AQ27" s="34">
        <f>0</f>
        <v>0</v>
      </c>
      <c r="AR27" s="34">
        <f t="shared" si="12"/>
        <v>-1</v>
      </c>
      <c r="AS27" s="34">
        <f>0</f>
        <v>0</v>
      </c>
    </row>
    <row r="28" spans="1:45" x14ac:dyDescent="0.2">
      <c r="A28" s="6" t="s">
        <v>236</v>
      </c>
      <c r="B28" s="34">
        <f t="shared" si="0"/>
        <v>0</v>
      </c>
      <c r="C28" s="34">
        <f t="shared" si="1"/>
        <v>0</v>
      </c>
      <c r="D28" s="34">
        <f t="shared" si="2"/>
        <v>0</v>
      </c>
      <c r="E28" s="34">
        <f t="shared" si="3"/>
        <v>0</v>
      </c>
      <c r="F28" s="34">
        <f t="shared" si="4"/>
        <v>0</v>
      </c>
      <c r="G28" s="34">
        <f t="shared" si="5"/>
        <v>0</v>
      </c>
      <c r="H28" s="34">
        <f t="shared" si="6"/>
        <v>0</v>
      </c>
      <c r="I28" s="34">
        <f t="shared" si="7"/>
        <v>0</v>
      </c>
      <c r="J28" s="34">
        <f t="shared" si="8"/>
        <v>0</v>
      </c>
      <c r="K28" s="34">
        <f t="shared" si="9"/>
        <v>-448</v>
      </c>
      <c r="L28" s="34">
        <f t="shared" si="13"/>
        <v>-1197</v>
      </c>
      <c r="M28" s="34">
        <f t="shared" si="10"/>
        <v>-2715</v>
      </c>
      <c r="N28" s="34">
        <v>-4697</v>
      </c>
      <c r="O28" s="34">
        <f>-12499</f>
        <v>-12499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-448</v>
      </c>
      <c r="AK28" s="34">
        <v>-423</v>
      </c>
      <c r="AL28" s="34">
        <v>-774</v>
      </c>
      <c r="AM28" s="34">
        <v>-802</v>
      </c>
      <c r="AN28" s="34">
        <v>-1913</v>
      </c>
      <c r="AO28" s="34">
        <v>-1119</v>
      </c>
      <c r="AP28" s="34">
        <f t="shared" si="11"/>
        <v>-3578</v>
      </c>
      <c r="AQ28" s="34">
        <f>-3207</f>
        <v>-3207</v>
      </c>
      <c r="AR28" s="34">
        <f t="shared" si="12"/>
        <v>-9292</v>
      </c>
      <c r="AS28" s="34">
        <f>-7818</f>
        <v>-7818</v>
      </c>
    </row>
    <row r="29" spans="1:45" x14ac:dyDescent="0.2">
      <c r="A29" s="6" t="s">
        <v>237</v>
      </c>
      <c r="B29" s="34">
        <f t="shared" si="0"/>
        <v>-1425</v>
      </c>
      <c r="C29" s="34">
        <f t="shared" si="1"/>
        <v>-544</v>
      </c>
      <c r="D29" s="34">
        <f t="shared" si="2"/>
        <v>-337</v>
      </c>
      <c r="E29" s="34">
        <f t="shared" si="3"/>
        <v>-1164</v>
      </c>
      <c r="F29" s="34">
        <f t="shared" si="4"/>
        <v>-1182</v>
      </c>
      <c r="G29" s="34">
        <f t="shared" si="5"/>
        <v>-1538</v>
      </c>
      <c r="H29" s="34">
        <f t="shared" si="6"/>
        <v>-705</v>
      </c>
      <c r="I29" s="34">
        <f t="shared" si="7"/>
        <v>2781</v>
      </c>
      <c r="J29" s="34">
        <f t="shared" si="8"/>
        <v>4713</v>
      </c>
      <c r="K29" s="34">
        <f t="shared" si="9"/>
        <v>5496</v>
      </c>
      <c r="L29" s="34">
        <f t="shared" si="13"/>
        <v>7381</v>
      </c>
      <c r="M29" s="34">
        <f t="shared" si="10"/>
        <v>9131</v>
      </c>
      <c r="N29" s="34">
        <v>12961</v>
      </c>
      <c r="O29" s="34">
        <f>25823</f>
        <v>25823</v>
      </c>
      <c r="Q29" s="34">
        <v>-212</v>
      </c>
      <c r="R29" s="34">
        <v>-1213</v>
      </c>
      <c r="S29" s="34">
        <v>-237</v>
      </c>
      <c r="T29" s="34">
        <v>-307</v>
      </c>
      <c r="U29" s="34">
        <v>-319</v>
      </c>
      <c r="V29" s="34">
        <v>-18</v>
      </c>
      <c r="W29" s="34">
        <v>-149</v>
      </c>
      <c r="X29" s="34">
        <v>-1015</v>
      </c>
      <c r="Y29" s="34">
        <v>-405</v>
      </c>
      <c r="Z29" s="34">
        <v>-777</v>
      </c>
      <c r="AA29" s="34">
        <v>-739</v>
      </c>
      <c r="AB29" s="34">
        <v>-799</v>
      </c>
      <c r="AC29" s="34">
        <v>-346</v>
      </c>
      <c r="AD29" s="34">
        <v>-359</v>
      </c>
      <c r="AE29" s="34">
        <v>1088</v>
      </c>
      <c r="AF29" s="34">
        <v>1693</v>
      </c>
      <c r="AG29" s="34">
        <v>2113</v>
      </c>
      <c r="AH29" s="34">
        <v>2600</v>
      </c>
      <c r="AI29" s="34">
        <v>2891</v>
      </c>
      <c r="AJ29" s="34">
        <v>2605</v>
      </c>
      <c r="AK29" s="34">
        <v>3705</v>
      </c>
      <c r="AL29" s="34">
        <v>3676</v>
      </c>
      <c r="AM29" s="34">
        <v>4270</v>
      </c>
      <c r="AN29" s="34">
        <v>4861</v>
      </c>
      <c r="AO29" s="34">
        <v>5627</v>
      </c>
      <c r="AP29" s="34">
        <f t="shared" si="11"/>
        <v>7334</v>
      </c>
      <c r="AQ29" s="34">
        <f>9746</f>
        <v>9746</v>
      </c>
      <c r="AR29" s="34">
        <f t="shared" si="12"/>
        <v>16077</v>
      </c>
      <c r="AS29" s="34">
        <f>25087</f>
        <v>25087</v>
      </c>
    </row>
    <row r="30" spans="1:45" x14ac:dyDescent="0.2">
      <c r="A30" s="6" t="s">
        <v>160</v>
      </c>
      <c r="B30" s="34">
        <f t="shared" si="0"/>
        <v>1585</v>
      </c>
      <c r="C30" s="34">
        <f t="shared" si="1"/>
        <v>1526</v>
      </c>
      <c r="D30" s="34">
        <f t="shared" si="2"/>
        <v>1833</v>
      </c>
      <c r="E30" s="34">
        <f t="shared" si="3"/>
        <v>2026</v>
      </c>
      <c r="F30" s="34">
        <f t="shared" si="4"/>
        <v>2002</v>
      </c>
      <c r="G30" s="34">
        <f t="shared" si="5"/>
        <v>1654</v>
      </c>
      <c r="H30" s="34">
        <f t="shared" si="6"/>
        <v>2524</v>
      </c>
      <c r="I30" s="34">
        <f t="shared" si="7"/>
        <v>1123</v>
      </c>
      <c r="J30" s="34">
        <f t="shared" si="8"/>
        <v>1585</v>
      </c>
      <c r="K30" s="34">
        <f t="shared" si="9"/>
        <v>2686</v>
      </c>
      <c r="L30" s="34">
        <f t="shared" si="13"/>
        <v>2842</v>
      </c>
      <c r="M30" s="34">
        <f t="shared" si="10"/>
        <v>2886</v>
      </c>
      <c r="N30" s="34">
        <v>2416</v>
      </c>
      <c r="O30" s="34">
        <f>-179</f>
        <v>-179</v>
      </c>
      <c r="Q30" s="34">
        <v>804</v>
      </c>
      <c r="R30" s="34">
        <v>781</v>
      </c>
      <c r="S30" s="34">
        <v>651</v>
      </c>
      <c r="T30" s="34">
        <v>875</v>
      </c>
      <c r="U30" s="34">
        <v>822</v>
      </c>
      <c r="V30" s="34">
        <v>1011</v>
      </c>
      <c r="W30" s="34">
        <v>302</v>
      </c>
      <c r="X30" s="34">
        <v>1724</v>
      </c>
      <c r="Y30" s="34">
        <v>795</v>
      </c>
      <c r="Z30" s="34">
        <v>1207</v>
      </c>
      <c r="AA30" s="34">
        <v>117</v>
      </c>
      <c r="AB30" s="34">
        <v>1537</v>
      </c>
      <c r="AC30" s="34">
        <v>754</v>
      </c>
      <c r="AD30" s="34">
        <v>1770</v>
      </c>
      <c r="AE30" s="34">
        <v>-369</v>
      </c>
      <c r="AF30" s="34">
        <v>1492</v>
      </c>
      <c r="AG30" s="34">
        <v>857</v>
      </c>
      <c r="AH30" s="34">
        <v>728</v>
      </c>
      <c r="AI30" s="34">
        <v>1082</v>
      </c>
      <c r="AJ30" s="34">
        <v>1604</v>
      </c>
      <c r="AK30" s="34">
        <v>1461</v>
      </c>
      <c r="AL30" s="34">
        <v>1381</v>
      </c>
      <c r="AM30" s="34">
        <v>1414</v>
      </c>
      <c r="AN30" s="34">
        <v>1472</v>
      </c>
      <c r="AO30" s="34">
        <v>502</v>
      </c>
      <c r="AP30" s="34">
        <f t="shared" si="11"/>
        <v>1914</v>
      </c>
      <c r="AQ30" s="34">
        <f>811</f>
        <v>811</v>
      </c>
      <c r="AR30" s="34">
        <f t="shared" si="12"/>
        <v>-990</v>
      </c>
      <c r="AS30" s="34">
        <f>-1434</f>
        <v>-1434</v>
      </c>
    </row>
    <row r="31" spans="1:45" ht="15" x14ac:dyDescent="0.25">
      <c r="A31" s="73" t="s">
        <v>238</v>
      </c>
      <c r="B31" s="78">
        <f t="shared" si="0"/>
        <v>7750</v>
      </c>
      <c r="C31" s="78">
        <f t="shared" si="1"/>
        <v>6378</v>
      </c>
      <c r="D31" s="78">
        <f t="shared" si="2"/>
        <v>8488</v>
      </c>
      <c r="E31" s="78">
        <f t="shared" si="3"/>
        <v>10342</v>
      </c>
      <c r="F31" s="78">
        <f t="shared" si="4"/>
        <v>7319</v>
      </c>
      <c r="G31" s="78">
        <f t="shared" si="5"/>
        <v>5522</v>
      </c>
      <c r="H31" s="78">
        <f t="shared" si="6"/>
        <v>11625</v>
      </c>
      <c r="I31" s="78">
        <f t="shared" si="7"/>
        <v>5773</v>
      </c>
      <c r="J31" s="78">
        <f t="shared" si="8"/>
        <v>6085</v>
      </c>
      <c r="K31" s="78">
        <f t="shared" si="9"/>
        <v>10181</v>
      </c>
      <c r="L31" s="78">
        <f t="shared" si="13"/>
        <v>11719</v>
      </c>
      <c r="M31" s="78">
        <f t="shared" si="10"/>
        <v>12320</v>
      </c>
      <c r="N31" s="78">
        <v>11070</v>
      </c>
      <c r="O31" s="78">
        <f>13066</f>
        <v>13066</v>
      </c>
      <c r="P31" s="40"/>
      <c r="Q31" s="78">
        <v>3388</v>
      </c>
      <c r="R31" s="78">
        <v>4362</v>
      </c>
      <c r="S31" s="78">
        <v>2965</v>
      </c>
      <c r="T31" s="78">
        <v>3413</v>
      </c>
      <c r="U31" s="78">
        <v>3742</v>
      </c>
      <c r="V31" s="78">
        <v>4746</v>
      </c>
      <c r="W31" s="78">
        <v>1383</v>
      </c>
      <c r="X31" s="78">
        <v>8959</v>
      </c>
      <c r="Y31" s="78">
        <v>3012</v>
      </c>
      <c r="Z31" s="78">
        <v>4307</v>
      </c>
      <c r="AA31" s="78">
        <v>1236</v>
      </c>
      <c r="AB31" s="78">
        <v>4286</v>
      </c>
      <c r="AC31" s="78">
        <v>3038</v>
      </c>
      <c r="AD31" s="78">
        <v>8587</v>
      </c>
      <c r="AE31" s="78">
        <v>1496</v>
      </c>
      <c r="AF31" s="78">
        <v>4277</v>
      </c>
      <c r="AG31" s="78">
        <v>3694</v>
      </c>
      <c r="AH31" s="78">
        <v>2391</v>
      </c>
      <c r="AI31" s="78">
        <v>2984</v>
      </c>
      <c r="AJ31" s="78">
        <v>7197</v>
      </c>
      <c r="AK31" s="78">
        <v>5190</v>
      </c>
      <c r="AL31" s="78">
        <v>6529</v>
      </c>
      <c r="AM31" s="78">
        <f>SUM(AM7:AM30)</f>
        <v>3944</v>
      </c>
      <c r="AN31" s="78">
        <v>8376</v>
      </c>
      <c r="AO31" s="78">
        <f>SUM(AO7:AO30)</f>
        <v>4385</v>
      </c>
      <c r="AP31" s="78">
        <f t="shared" si="11"/>
        <v>6685</v>
      </c>
      <c r="AQ31" s="78">
        <f>SUM(AQ7:AQ30)</f>
        <v>9302</v>
      </c>
      <c r="AR31" s="78">
        <f t="shared" si="12"/>
        <v>3764</v>
      </c>
      <c r="AS31" s="78">
        <f t="shared" ref="AS31" si="26">SUM(AS7:AS30)</f>
        <v>5748</v>
      </c>
    </row>
    <row r="32" spans="1:45" x14ac:dyDescent="0.2">
      <c r="A32" s="6" t="s">
        <v>239</v>
      </c>
      <c r="B32" s="34">
        <f t="shared" si="0"/>
        <v>-5308</v>
      </c>
      <c r="C32" s="34">
        <f t="shared" si="1"/>
        <v>-7633</v>
      </c>
      <c r="D32" s="34">
        <f t="shared" si="2"/>
        <v>-7837</v>
      </c>
      <c r="E32" s="34">
        <f t="shared" si="3"/>
        <v>-6890</v>
      </c>
      <c r="F32" s="34">
        <f t="shared" si="4"/>
        <v>-8255</v>
      </c>
      <c r="G32" s="34">
        <f t="shared" si="5"/>
        <v>-1780</v>
      </c>
      <c r="H32" s="34">
        <f t="shared" si="6"/>
        <v>-1009</v>
      </c>
      <c r="I32" s="34">
        <f t="shared" si="7"/>
        <v>3582</v>
      </c>
      <c r="J32" s="34">
        <f t="shared" si="8"/>
        <v>12506</v>
      </c>
      <c r="K32" s="34">
        <f t="shared" si="9"/>
        <v>-15619</v>
      </c>
      <c r="L32" s="34">
        <f t="shared" si="13"/>
        <v>3211</v>
      </c>
      <c r="M32" s="34">
        <f t="shared" si="10"/>
        <v>-24897</v>
      </c>
      <c r="N32" s="34">
        <v>-9780</v>
      </c>
      <c r="O32" s="34">
        <f>3224</f>
        <v>3224</v>
      </c>
      <c r="Q32" s="34">
        <v>-1772</v>
      </c>
      <c r="R32" s="34">
        <v>-3536</v>
      </c>
      <c r="S32" s="34">
        <v>-2082</v>
      </c>
      <c r="T32" s="34">
        <v>-5551</v>
      </c>
      <c r="U32" s="34">
        <v>-1957</v>
      </c>
      <c r="V32" s="34">
        <v>-5880</v>
      </c>
      <c r="W32" s="34">
        <v>-6763</v>
      </c>
      <c r="X32" s="34">
        <v>-127</v>
      </c>
      <c r="Y32" s="34">
        <v>-2418</v>
      </c>
      <c r="Z32" s="34">
        <v>-5837</v>
      </c>
      <c r="AA32" s="34">
        <v>-502</v>
      </c>
      <c r="AB32" s="34">
        <v>-1278</v>
      </c>
      <c r="AC32" s="34">
        <v>-582</v>
      </c>
      <c r="AD32" s="34">
        <v>-427</v>
      </c>
      <c r="AE32" s="34">
        <v>-4833</v>
      </c>
      <c r="AF32" s="34">
        <v>8415</v>
      </c>
      <c r="AG32" s="34">
        <v>7357</v>
      </c>
      <c r="AH32" s="34">
        <v>5149</v>
      </c>
      <c r="AI32" s="34">
        <v>2781</v>
      </c>
      <c r="AJ32" s="34">
        <v>-18400</v>
      </c>
      <c r="AK32" s="34">
        <v>3242</v>
      </c>
      <c r="AL32" s="34">
        <v>-31</v>
      </c>
      <c r="AM32" s="34">
        <v>-14724</v>
      </c>
      <c r="AN32" s="34">
        <v>-10173</v>
      </c>
      <c r="AO32" s="34">
        <f>-11430</f>
        <v>-11430</v>
      </c>
      <c r="AP32" s="34">
        <f t="shared" si="11"/>
        <v>1650</v>
      </c>
      <c r="AQ32" s="34">
        <f>9449</f>
        <v>9449</v>
      </c>
      <c r="AR32" s="34">
        <f t="shared" si="12"/>
        <v>-6225</v>
      </c>
      <c r="AS32" s="34">
        <v>8759</v>
      </c>
    </row>
    <row r="33" spans="1:45" x14ac:dyDescent="0.2">
      <c r="A33" s="6" t="s">
        <v>240</v>
      </c>
      <c r="B33" s="34">
        <f t="shared" si="0"/>
        <v>-2893</v>
      </c>
      <c r="C33" s="34">
        <f t="shared" si="1"/>
        <v>-3024</v>
      </c>
      <c r="D33" s="34">
        <f t="shared" si="2"/>
        <v>-5080</v>
      </c>
      <c r="E33" s="34">
        <f t="shared" si="3"/>
        <v>-1427</v>
      </c>
      <c r="F33" s="34">
        <f t="shared" si="4"/>
        <v>-3899</v>
      </c>
      <c r="G33" s="34">
        <f t="shared" si="5"/>
        <v>-3746</v>
      </c>
      <c r="H33" s="34">
        <f t="shared" si="6"/>
        <v>-6953</v>
      </c>
      <c r="I33" s="34">
        <f t="shared" si="7"/>
        <v>9036</v>
      </c>
      <c r="J33" s="34">
        <f t="shared" si="8"/>
        <v>544</v>
      </c>
      <c r="K33" s="34">
        <f t="shared" si="9"/>
        <v>2642</v>
      </c>
      <c r="L33" s="34">
        <f t="shared" si="13"/>
        <v>-2386</v>
      </c>
      <c r="M33" s="34">
        <f t="shared" si="10"/>
        <v>-2212</v>
      </c>
      <c r="N33" s="34">
        <v>-49</v>
      </c>
      <c r="O33" s="34">
        <f>-14889</f>
        <v>-14889</v>
      </c>
      <c r="Q33" s="34">
        <v>-915</v>
      </c>
      <c r="R33" s="34">
        <v>-1978</v>
      </c>
      <c r="S33" s="34">
        <v>-401</v>
      </c>
      <c r="T33" s="34">
        <v>-2623</v>
      </c>
      <c r="U33" s="34">
        <v>-3243</v>
      </c>
      <c r="V33" s="34">
        <v>-1837</v>
      </c>
      <c r="W33" s="34">
        <v>-2093</v>
      </c>
      <c r="X33" s="34">
        <v>666</v>
      </c>
      <c r="Y33" s="34">
        <v>-366</v>
      </c>
      <c r="Z33" s="34">
        <v>-3533</v>
      </c>
      <c r="AA33" s="34">
        <v>-2381</v>
      </c>
      <c r="AB33" s="34">
        <v>-1365</v>
      </c>
      <c r="AC33" s="34">
        <v>-7998</v>
      </c>
      <c r="AD33" s="34">
        <v>1045</v>
      </c>
      <c r="AE33" s="34">
        <v>4391</v>
      </c>
      <c r="AF33" s="34">
        <v>4645</v>
      </c>
      <c r="AG33" s="34">
        <v>-1862</v>
      </c>
      <c r="AH33" s="34">
        <v>2406</v>
      </c>
      <c r="AI33" s="34">
        <v>2635</v>
      </c>
      <c r="AJ33" s="34">
        <v>7</v>
      </c>
      <c r="AK33" s="34">
        <v>-3421</v>
      </c>
      <c r="AL33" s="34">
        <v>1035</v>
      </c>
      <c r="AM33" s="34">
        <v>1075</v>
      </c>
      <c r="AN33" s="34">
        <v>-3287</v>
      </c>
      <c r="AO33" s="34">
        <v>-2847</v>
      </c>
      <c r="AP33" s="34">
        <f t="shared" si="11"/>
        <v>2798</v>
      </c>
      <c r="AQ33" s="34">
        <f>-7296</f>
        <v>-7296</v>
      </c>
      <c r="AR33" s="34">
        <f t="shared" si="12"/>
        <v>-7593</v>
      </c>
      <c r="AS33" s="34">
        <f>-2591</f>
        <v>-2591</v>
      </c>
    </row>
    <row r="34" spans="1:45" x14ac:dyDescent="0.2">
      <c r="A34" s="6" t="s">
        <v>243</v>
      </c>
      <c r="B34" s="34">
        <f>SUM(Q34:R34)</f>
        <v>0</v>
      </c>
      <c r="C34" s="34">
        <f>SUM(S34:T34)</f>
        <v>0</v>
      </c>
      <c r="D34" s="34">
        <f>SUM(U34:V34)</f>
        <v>0</v>
      </c>
      <c r="E34" s="34">
        <f>SUM(W34:X34)</f>
        <v>0</v>
      </c>
      <c r="F34" s="34">
        <f>SUM(Y34:Z34)</f>
        <v>0</v>
      </c>
      <c r="G34" s="34">
        <f>SUM(AA34:AB34)</f>
        <v>0</v>
      </c>
      <c r="H34" s="34">
        <f>SUM(AC34:AD34)</f>
        <v>-203</v>
      </c>
      <c r="I34" s="34">
        <f>SUM(AE34:AF34)</f>
        <v>-57</v>
      </c>
      <c r="J34" s="34">
        <f>SUM(AG34:AH34)</f>
        <v>-1219</v>
      </c>
      <c r="K34" s="34">
        <f>SUM(AI34:AJ34)</f>
        <v>-4675</v>
      </c>
      <c r="L34" s="34">
        <f>SUM(AK34:AL34)</f>
        <v>-18194</v>
      </c>
      <c r="M34" s="34">
        <f>SUM(AM34:AN34)</f>
        <v>-24029</v>
      </c>
      <c r="N34" s="34">
        <v>-25990</v>
      </c>
      <c r="O34" s="34">
        <f>-70894</f>
        <v>-70894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-991</v>
      </c>
      <c r="AD34" s="34">
        <v>788</v>
      </c>
      <c r="AE34" s="34">
        <v>1023</v>
      </c>
      <c r="AF34" s="34">
        <v>-1080</v>
      </c>
      <c r="AG34" s="34">
        <v>-333</v>
      </c>
      <c r="AH34" s="34">
        <v>-886</v>
      </c>
      <c r="AI34" s="34">
        <v>-1513</v>
      </c>
      <c r="AJ34" s="34">
        <v>-3162</v>
      </c>
      <c r="AK34" s="34">
        <v>-5237</v>
      </c>
      <c r="AL34" s="34">
        <v>-12957</v>
      </c>
      <c r="AM34" s="34">
        <v>-8788</v>
      </c>
      <c r="AN34" s="34">
        <v>-15241</v>
      </c>
      <c r="AO34" s="34">
        <v>-5641</v>
      </c>
      <c r="AP34" s="34">
        <f t="shared" si="11"/>
        <v>-20349</v>
      </c>
      <c r="AQ34" s="34">
        <f>-30474</f>
        <v>-30474</v>
      </c>
      <c r="AR34" s="34">
        <f t="shared" si="12"/>
        <v>-40420</v>
      </c>
      <c r="AS34" s="34">
        <f>-38402</f>
        <v>-38402</v>
      </c>
    </row>
    <row r="35" spans="1:45" x14ac:dyDescent="0.2">
      <c r="A35" s="6" t="s">
        <v>434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>
        <f>-1360</f>
        <v>-1360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>
        <f>-1182</f>
        <v>-1182</v>
      </c>
      <c r="AR35" s="34">
        <f t="shared" si="12"/>
        <v>-178</v>
      </c>
      <c r="AS35" s="34">
        <f>114</f>
        <v>114</v>
      </c>
    </row>
    <row r="36" spans="1:45" x14ac:dyDescent="0.2">
      <c r="A36" s="6" t="s">
        <v>435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>
        <f>-1137</f>
        <v>-1137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>
        <f>-2000</f>
        <v>-2000</v>
      </c>
      <c r="AR36" s="34">
        <f t="shared" si="12"/>
        <v>863</v>
      </c>
      <c r="AS36" s="34">
        <f>407</f>
        <v>407</v>
      </c>
    </row>
    <row r="37" spans="1:45" x14ac:dyDescent="0.2">
      <c r="A37" s="6" t="s">
        <v>241</v>
      </c>
      <c r="B37" s="34">
        <f t="shared" si="0"/>
        <v>-818</v>
      </c>
      <c r="C37" s="34">
        <f t="shared" si="1"/>
        <v>4074</v>
      </c>
      <c r="D37" s="34">
        <f t="shared" si="2"/>
        <v>4880</v>
      </c>
      <c r="E37" s="34">
        <f t="shared" si="3"/>
        <v>1184</v>
      </c>
      <c r="F37" s="34">
        <f t="shared" si="4"/>
        <v>2369</v>
      </c>
      <c r="G37" s="34">
        <f t="shared" si="5"/>
        <v>7812</v>
      </c>
      <c r="H37" s="34">
        <f t="shared" si="6"/>
        <v>161</v>
      </c>
      <c r="I37" s="34">
        <f t="shared" si="7"/>
        <v>-65</v>
      </c>
      <c r="J37" s="34">
        <f t="shared" si="8"/>
        <v>-9511</v>
      </c>
      <c r="K37" s="34">
        <f t="shared" si="9"/>
        <v>24390</v>
      </c>
      <c r="L37" s="34">
        <f t="shared" si="13"/>
        <v>5937</v>
      </c>
      <c r="M37" s="34">
        <f t="shared" si="10"/>
        <v>2424</v>
      </c>
      <c r="N37" s="34">
        <v>-4994</v>
      </c>
      <c r="O37" s="34">
        <f>-11221</f>
        <v>-11221</v>
      </c>
      <c r="Q37" s="34">
        <v>-437</v>
      </c>
      <c r="R37" s="34">
        <v>-381</v>
      </c>
      <c r="S37" s="34">
        <v>1434</v>
      </c>
      <c r="T37" s="34">
        <v>2640</v>
      </c>
      <c r="U37" s="34">
        <v>1478</v>
      </c>
      <c r="V37" s="34">
        <v>3402</v>
      </c>
      <c r="W37" s="34">
        <v>10135</v>
      </c>
      <c r="X37" s="34">
        <v>-8951</v>
      </c>
      <c r="Y37" s="34">
        <v>-1461</v>
      </c>
      <c r="Z37" s="34">
        <v>3830</v>
      </c>
      <c r="AA37" s="34">
        <v>8519</v>
      </c>
      <c r="AB37" s="34">
        <v>-707</v>
      </c>
      <c r="AC37" s="34">
        <v>-1024</v>
      </c>
      <c r="AD37" s="34">
        <v>1185</v>
      </c>
      <c r="AE37" s="34">
        <v>-2068</v>
      </c>
      <c r="AF37" s="34">
        <v>2003</v>
      </c>
      <c r="AG37" s="34">
        <v>-9286</v>
      </c>
      <c r="AH37" s="34">
        <v>-225</v>
      </c>
      <c r="AI37" s="34">
        <v>-2870</v>
      </c>
      <c r="AJ37" s="34">
        <v>27260</v>
      </c>
      <c r="AK37" s="34">
        <v>2062</v>
      </c>
      <c r="AL37" s="34">
        <v>3875</v>
      </c>
      <c r="AM37" s="34">
        <v>2401</v>
      </c>
      <c r="AN37" s="34">
        <v>23</v>
      </c>
      <c r="AO37" s="34">
        <v>-1810</v>
      </c>
      <c r="AP37" s="34">
        <f t="shared" si="11"/>
        <v>-3184</v>
      </c>
      <c r="AQ37" s="34">
        <f>-16092</f>
        <v>-16092</v>
      </c>
      <c r="AR37" s="34">
        <f t="shared" si="12"/>
        <v>4871</v>
      </c>
      <c r="AS37" s="34">
        <v>-629</v>
      </c>
    </row>
    <row r="38" spans="1:45" x14ac:dyDescent="0.2">
      <c r="A38" s="6" t="s">
        <v>244</v>
      </c>
      <c r="B38" s="34">
        <f>SUM(Q38:R38)</f>
        <v>0</v>
      </c>
      <c r="C38" s="34">
        <f>SUM(S38:T38)</f>
        <v>0</v>
      </c>
      <c r="D38" s="34">
        <f>SUM(U38:V38)</f>
        <v>0</v>
      </c>
      <c r="E38" s="34">
        <f>SUM(W38:X38)</f>
        <v>0</v>
      </c>
      <c r="F38" s="34">
        <f>SUM(Y38:Z38)</f>
        <v>0</v>
      </c>
      <c r="G38" s="34">
        <f>SUM(AA38:AB38)</f>
        <v>0</v>
      </c>
      <c r="H38" s="34">
        <f>SUM(AC38:AD38)</f>
        <v>1329</v>
      </c>
      <c r="I38" s="34">
        <f>SUM(AE38:AF38)</f>
        <v>1500</v>
      </c>
      <c r="J38" s="34">
        <f>SUM(AG38:AH38)</f>
        <v>9290</v>
      </c>
      <c r="K38" s="34">
        <f>SUM(AI38:AJ38)</f>
        <v>-8088</v>
      </c>
      <c r="L38" s="34">
        <f>SUM(AK38:AL38)</f>
        <v>-14194</v>
      </c>
      <c r="M38" s="34">
        <f>SUM(AM38:AN38)</f>
        <v>-3577</v>
      </c>
      <c r="N38" s="34">
        <v>-3291</v>
      </c>
      <c r="O38" s="34">
        <f>3425</f>
        <v>3425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7727</v>
      </c>
      <c r="AD38" s="34">
        <v>-6398</v>
      </c>
      <c r="AE38" s="34">
        <v>8492</v>
      </c>
      <c r="AF38" s="34">
        <v>-6992</v>
      </c>
      <c r="AG38" s="34">
        <v>13454</v>
      </c>
      <c r="AH38" s="34">
        <v>-4164</v>
      </c>
      <c r="AI38" s="34">
        <v>-3210</v>
      </c>
      <c r="AJ38" s="34">
        <v>-4878</v>
      </c>
      <c r="AK38" s="34">
        <v>-6266</v>
      </c>
      <c r="AL38" s="34">
        <v>-7928</v>
      </c>
      <c r="AM38" s="34">
        <v>-674</v>
      </c>
      <c r="AN38" s="34">
        <v>-2903</v>
      </c>
      <c r="AO38" s="34">
        <v>2724</v>
      </c>
      <c r="AP38" s="34">
        <f t="shared" si="11"/>
        <v>-6015</v>
      </c>
      <c r="AQ38" s="34">
        <f>3849</f>
        <v>3849</v>
      </c>
      <c r="AR38" s="34">
        <f t="shared" si="12"/>
        <v>-424</v>
      </c>
      <c r="AS38" s="34">
        <f>969</f>
        <v>969</v>
      </c>
    </row>
    <row r="39" spans="1:45" x14ac:dyDescent="0.2">
      <c r="A39" s="6" t="s">
        <v>242</v>
      </c>
      <c r="B39" s="34">
        <f t="shared" si="0"/>
        <v>367</v>
      </c>
      <c r="C39" s="34">
        <f t="shared" si="1"/>
        <v>-992</v>
      </c>
      <c r="D39" s="34">
        <f t="shared" si="2"/>
        <v>1109</v>
      </c>
      <c r="E39" s="34">
        <f t="shared" si="3"/>
        <v>594</v>
      </c>
      <c r="F39" s="34">
        <f t="shared" si="4"/>
        <v>1315</v>
      </c>
      <c r="G39" s="34">
        <f t="shared" si="5"/>
        <v>-1808</v>
      </c>
      <c r="H39" s="34">
        <f t="shared" si="6"/>
        <v>112</v>
      </c>
      <c r="I39" s="34">
        <f t="shared" si="7"/>
        <v>-883</v>
      </c>
      <c r="J39" s="34">
        <f t="shared" si="8"/>
        <v>-420</v>
      </c>
      <c r="K39" s="34">
        <f t="shared" si="9"/>
        <v>-278</v>
      </c>
      <c r="L39" s="34">
        <f t="shared" si="13"/>
        <v>108</v>
      </c>
      <c r="M39" s="34">
        <f t="shared" si="10"/>
        <v>-28</v>
      </c>
      <c r="N39" s="34">
        <v>-2964</v>
      </c>
      <c r="O39" s="34">
        <f>3403</f>
        <v>3403</v>
      </c>
      <c r="Q39" s="34">
        <v>-151</v>
      </c>
      <c r="R39" s="34">
        <v>518</v>
      </c>
      <c r="S39" s="34">
        <v>-410</v>
      </c>
      <c r="T39" s="34">
        <v>-582</v>
      </c>
      <c r="U39" s="34">
        <v>-317</v>
      </c>
      <c r="V39" s="34">
        <v>1426</v>
      </c>
      <c r="W39" s="34">
        <v>-324</v>
      </c>
      <c r="X39" s="34">
        <v>918</v>
      </c>
      <c r="Y39" s="34">
        <v>-600</v>
      </c>
      <c r="Z39" s="34">
        <v>1915</v>
      </c>
      <c r="AA39" s="34">
        <v>-1694</v>
      </c>
      <c r="AB39" s="34">
        <v>-114</v>
      </c>
      <c r="AC39" s="34">
        <v>-261</v>
      </c>
      <c r="AD39" s="34">
        <v>373</v>
      </c>
      <c r="AE39" s="34">
        <v>-654</v>
      </c>
      <c r="AF39" s="34">
        <v>-229</v>
      </c>
      <c r="AG39" s="34">
        <v>-316</v>
      </c>
      <c r="AH39" s="34">
        <v>-104</v>
      </c>
      <c r="AI39" s="34">
        <v>0</v>
      </c>
      <c r="AJ39" s="34">
        <v>-278</v>
      </c>
      <c r="AK39" s="34">
        <v>449</v>
      </c>
      <c r="AL39" s="34">
        <v>-341</v>
      </c>
      <c r="AM39" s="34">
        <v>617</v>
      </c>
      <c r="AN39" s="34">
        <v>-645</v>
      </c>
      <c r="AO39" s="34">
        <v>-327</v>
      </c>
      <c r="AP39" s="34">
        <f t="shared" si="11"/>
        <v>-2637</v>
      </c>
      <c r="AQ39" s="34">
        <f>236</f>
        <v>236</v>
      </c>
      <c r="AR39" s="34">
        <f t="shared" si="12"/>
        <v>3167</v>
      </c>
      <c r="AS39" s="34">
        <f>976</f>
        <v>976</v>
      </c>
    </row>
    <row r="40" spans="1:45" x14ac:dyDescent="0.2">
      <c r="A40" s="6" t="s">
        <v>245</v>
      </c>
      <c r="B40" s="34">
        <f t="shared" si="0"/>
        <v>24</v>
      </c>
      <c r="C40" s="34">
        <f t="shared" si="1"/>
        <v>3</v>
      </c>
      <c r="D40" s="34">
        <f t="shared" si="2"/>
        <v>25</v>
      </c>
      <c r="E40" s="34">
        <f t="shared" si="3"/>
        <v>-59</v>
      </c>
      <c r="F40" s="34">
        <f t="shared" si="4"/>
        <v>0</v>
      </c>
      <c r="G40" s="34">
        <f t="shared" si="5"/>
        <v>0</v>
      </c>
      <c r="H40" s="34">
        <f t="shared" si="6"/>
        <v>0</v>
      </c>
      <c r="I40" s="34">
        <f t="shared" si="7"/>
        <v>0</v>
      </c>
      <c r="J40" s="34">
        <f t="shared" si="8"/>
        <v>0</v>
      </c>
      <c r="K40" s="34">
        <f t="shared" si="9"/>
        <v>0</v>
      </c>
      <c r="L40" s="34">
        <f t="shared" si="13"/>
        <v>0</v>
      </c>
      <c r="M40" s="34">
        <f t="shared" si="10"/>
        <v>0</v>
      </c>
      <c r="N40" s="34">
        <f t="shared" si="10"/>
        <v>0</v>
      </c>
      <c r="O40" s="34">
        <f>0</f>
        <v>0</v>
      </c>
      <c r="Q40" s="34">
        <v>28</v>
      </c>
      <c r="R40" s="34">
        <v>-4</v>
      </c>
      <c r="S40" s="34">
        <v>21</v>
      </c>
      <c r="T40" s="34">
        <v>-18</v>
      </c>
      <c r="U40" s="34">
        <v>12</v>
      </c>
      <c r="V40" s="34">
        <v>13</v>
      </c>
      <c r="W40" s="34">
        <v>-11</v>
      </c>
      <c r="X40" s="34">
        <v>-48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/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f t="shared" si="11"/>
        <v>0</v>
      </c>
      <c r="AQ40" s="34">
        <f>0</f>
        <v>0</v>
      </c>
      <c r="AR40" s="34">
        <f t="shared" si="12"/>
        <v>0</v>
      </c>
      <c r="AS40" s="34">
        <f>0</f>
        <v>0</v>
      </c>
    </row>
    <row r="41" spans="1:45" ht="15" x14ac:dyDescent="0.25">
      <c r="A41" s="73" t="s">
        <v>246</v>
      </c>
      <c r="B41" s="78">
        <f t="shared" si="0"/>
        <v>-878</v>
      </c>
      <c r="C41" s="78">
        <f t="shared" si="1"/>
        <v>-1194</v>
      </c>
      <c r="D41" s="78">
        <f t="shared" si="2"/>
        <v>1585</v>
      </c>
      <c r="E41" s="78">
        <f t="shared" si="3"/>
        <v>3744</v>
      </c>
      <c r="F41" s="78">
        <f t="shared" si="4"/>
        <v>-1151</v>
      </c>
      <c r="G41" s="78">
        <f t="shared" si="5"/>
        <v>6000</v>
      </c>
      <c r="H41" s="78">
        <f t="shared" si="6"/>
        <v>5062</v>
      </c>
      <c r="I41" s="78">
        <f t="shared" si="7"/>
        <v>18886</v>
      </c>
      <c r="J41" s="78">
        <f t="shared" si="8"/>
        <v>17275</v>
      </c>
      <c r="K41" s="78">
        <f t="shared" si="9"/>
        <v>8553</v>
      </c>
      <c r="L41" s="78">
        <f t="shared" si="13"/>
        <v>-13799</v>
      </c>
      <c r="M41" s="78">
        <f t="shared" si="10"/>
        <v>-39999</v>
      </c>
      <c r="N41" s="78">
        <f>SUM(N31:N40)</f>
        <v>-35998</v>
      </c>
      <c r="O41" s="78">
        <f>SUM(O31:O40)</f>
        <v>-76383</v>
      </c>
      <c r="P41" s="40"/>
      <c r="Q41" s="78">
        <v>141</v>
      </c>
      <c r="R41" s="78">
        <v>-1019</v>
      </c>
      <c r="S41" s="78">
        <v>1527</v>
      </c>
      <c r="T41" s="78">
        <v>-2721</v>
      </c>
      <c r="U41" s="78">
        <v>-285</v>
      </c>
      <c r="V41" s="78">
        <v>1870</v>
      </c>
      <c r="W41" s="78">
        <v>2327</v>
      </c>
      <c r="X41" s="78">
        <v>1417</v>
      </c>
      <c r="Y41" s="78">
        <v>-1833</v>
      </c>
      <c r="Z41" s="78">
        <v>682</v>
      </c>
      <c r="AA41" s="78">
        <v>5178</v>
      </c>
      <c r="AB41" s="78">
        <v>822</v>
      </c>
      <c r="AC41" s="78">
        <v>-91</v>
      </c>
      <c r="AD41" s="78">
        <v>5153</v>
      </c>
      <c r="AE41" s="78">
        <v>7847</v>
      </c>
      <c r="AF41" s="78">
        <v>11039</v>
      </c>
      <c r="AG41" s="78">
        <v>12708</v>
      </c>
      <c r="AH41" s="78">
        <v>4567</v>
      </c>
      <c r="AI41" s="78">
        <v>807</v>
      </c>
      <c r="AJ41" s="78">
        <v>7746</v>
      </c>
      <c r="AK41" s="78">
        <v>-3981</v>
      </c>
      <c r="AL41" s="78">
        <v>-9818</v>
      </c>
      <c r="AM41" s="78">
        <f>SUM(AM31:AM40)</f>
        <v>-16149</v>
      </c>
      <c r="AN41" s="78">
        <v>-23850</v>
      </c>
      <c r="AO41" s="78">
        <f>SUM(AO31:AO40)</f>
        <v>-14946</v>
      </c>
      <c r="AP41" s="78">
        <f t="shared" si="11"/>
        <v>-21052</v>
      </c>
      <c r="AQ41" s="78">
        <f>SUM(AQ31:AQ40)</f>
        <v>-34208</v>
      </c>
      <c r="AR41" s="78">
        <f t="shared" si="12"/>
        <v>-42175</v>
      </c>
      <c r="AS41" s="78">
        <f>SUM(AS31:AS40)</f>
        <v>-24649</v>
      </c>
    </row>
    <row r="42" spans="1:45" x14ac:dyDescent="0.2">
      <c r="A42" s="6" t="s">
        <v>247</v>
      </c>
      <c r="B42" s="34">
        <f t="shared" si="0"/>
        <v>-1897</v>
      </c>
      <c r="C42" s="34">
        <f t="shared" si="1"/>
        <v>-1833</v>
      </c>
      <c r="D42" s="34">
        <f t="shared" si="2"/>
        <v>-907</v>
      </c>
      <c r="E42" s="34">
        <f t="shared" si="3"/>
        <v>-1645</v>
      </c>
      <c r="F42" s="34">
        <f t="shared" si="4"/>
        <v>-2146</v>
      </c>
      <c r="G42" s="34">
        <f t="shared" si="5"/>
        <v>-1960</v>
      </c>
      <c r="H42" s="34">
        <f t="shared" si="6"/>
        <v>-2381</v>
      </c>
      <c r="I42" s="34">
        <f t="shared" si="7"/>
        <v>-1483</v>
      </c>
      <c r="J42" s="34">
        <f t="shared" si="8"/>
        <v>-3939</v>
      </c>
      <c r="K42" s="34">
        <f t="shared" si="9"/>
        <v>-4647</v>
      </c>
      <c r="L42" s="34">
        <f t="shared" si="13"/>
        <v>-3543</v>
      </c>
      <c r="M42" s="34">
        <f t="shared" si="10"/>
        <v>-5553</v>
      </c>
      <c r="N42" s="34">
        <v>-4518</v>
      </c>
      <c r="O42" s="34">
        <f>-2637</f>
        <v>-2637</v>
      </c>
      <c r="Q42" s="34">
        <v>-1370</v>
      </c>
      <c r="R42" s="34">
        <v>-527</v>
      </c>
      <c r="S42" s="34">
        <v>-936</v>
      </c>
      <c r="T42" s="34">
        <v>-897</v>
      </c>
      <c r="U42" s="34">
        <v>-632</v>
      </c>
      <c r="V42" s="34">
        <v>-275</v>
      </c>
      <c r="W42" s="34">
        <v>-742</v>
      </c>
      <c r="X42" s="34">
        <v>-903</v>
      </c>
      <c r="Y42" s="34">
        <v>-1605</v>
      </c>
      <c r="Z42" s="34">
        <v>-541</v>
      </c>
      <c r="AA42" s="34">
        <v>-1070</v>
      </c>
      <c r="AB42" s="34">
        <v>-890</v>
      </c>
      <c r="AC42" s="34">
        <v>-1018</v>
      </c>
      <c r="AD42" s="34">
        <v>-1363</v>
      </c>
      <c r="AE42" s="34">
        <v>-600</v>
      </c>
      <c r="AF42" s="34">
        <v>-883</v>
      </c>
      <c r="AG42" s="34">
        <v>-1620</v>
      </c>
      <c r="AH42" s="34">
        <v>-2319</v>
      </c>
      <c r="AI42" s="34">
        <v>-1731</v>
      </c>
      <c r="AJ42" s="34">
        <v>-2916</v>
      </c>
      <c r="AK42" s="34">
        <v>-1231</v>
      </c>
      <c r="AL42" s="34">
        <v>-2312</v>
      </c>
      <c r="AM42" s="34">
        <v>-1149</v>
      </c>
      <c r="AN42" s="34">
        <v>-4404</v>
      </c>
      <c r="AO42" s="34">
        <v>-1887</v>
      </c>
      <c r="AP42" s="34">
        <f t="shared" si="11"/>
        <v>-2631</v>
      </c>
      <c r="AQ42" s="34">
        <f>-2161</f>
        <v>-2161</v>
      </c>
      <c r="AR42" s="34">
        <f t="shared" si="12"/>
        <v>-476</v>
      </c>
      <c r="AS42" s="34">
        <f>-1659</f>
        <v>-1659</v>
      </c>
    </row>
    <row r="43" spans="1:45" x14ac:dyDescent="0.2">
      <c r="A43" s="6" t="s">
        <v>248</v>
      </c>
      <c r="B43" s="34">
        <f t="shared" si="0"/>
        <v>-1098</v>
      </c>
      <c r="C43" s="34">
        <f t="shared" si="1"/>
        <v>-1097</v>
      </c>
      <c r="D43" s="34">
        <f t="shared" si="2"/>
        <v>-1724</v>
      </c>
      <c r="E43" s="34">
        <f t="shared" si="3"/>
        <v>-1588</v>
      </c>
      <c r="F43" s="34">
        <f t="shared" si="4"/>
        <v>-2516</v>
      </c>
      <c r="G43" s="34">
        <f t="shared" si="5"/>
        <v>-2603</v>
      </c>
      <c r="H43" s="34">
        <f t="shared" si="6"/>
        <v>-2257</v>
      </c>
      <c r="I43" s="34">
        <f t="shared" si="7"/>
        <v>-2246</v>
      </c>
      <c r="J43" s="34">
        <f t="shared" si="8"/>
        <v>-4824</v>
      </c>
      <c r="K43" s="34">
        <f t="shared" si="9"/>
        <v>-4803</v>
      </c>
      <c r="L43" s="34">
        <f t="shared" si="13"/>
        <v>-4461</v>
      </c>
      <c r="M43" s="34">
        <f t="shared" si="10"/>
        <v>-5263</v>
      </c>
      <c r="N43" s="34">
        <v>-6015</v>
      </c>
      <c r="O43" s="34">
        <f>-10589</f>
        <v>-10589</v>
      </c>
      <c r="Q43" s="34">
        <v>-547</v>
      </c>
      <c r="R43" s="34">
        <v>-551</v>
      </c>
      <c r="S43" s="34">
        <v>-476</v>
      </c>
      <c r="T43" s="34">
        <v>-621</v>
      </c>
      <c r="U43" s="34">
        <v>-871</v>
      </c>
      <c r="V43" s="34">
        <v>-853</v>
      </c>
      <c r="W43" s="34">
        <v>-683</v>
      </c>
      <c r="X43" s="34">
        <v>-905</v>
      </c>
      <c r="Y43" s="34">
        <v>-1180</v>
      </c>
      <c r="Z43" s="34">
        <v>-1336</v>
      </c>
      <c r="AA43" s="34">
        <v>-1278</v>
      </c>
      <c r="AB43" s="34">
        <v>-1325</v>
      </c>
      <c r="AC43" s="34">
        <v>-1093</v>
      </c>
      <c r="AD43" s="34">
        <v>-1164</v>
      </c>
      <c r="AE43" s="34">
        <v>-1146</v>
      </c>
      <c r="AF43" s="34">
        <v>-1100</v>
      </c>
      <c r="AG43" s="34">
        <v>-2056</v>
      </c>
      <c r="AH43" s="34">
        <v>-2768</v>
      </c>
      <c r="AI43" s="34">
        <v>-2504</v>
      </c>
      <c r="AJ43" s="34">
        <v>-2299</v>
      </c>
      <c r="AK43" s="34">
        <v>-2097</v>
      </c>
      <c r="AL43" s="34">
        <v>-2364</v>
      </c>
      <c r="AM43" s="34">
        <v>-4385</v>
      </c>
      <c r="AN43" s="34">
        <v>-878</v>
      </c>
      <c r="AO43" s="34">
        <v>-2588</v>
      </c>
      <c r="AP43" s="34">
        <f t="shared" si="11"/>
        <v>-3427</v>
      </c>
      <c r="AQ43" s="34">
        <f>-5342</f>
        <v>-5342</v>
      </c>
      <c r="AR43" s="34">
        <f t="shared" si="12"/>
        <v>-5247</v>
      </c>
      <c r="AS43" s="34">
        <f>-8042</f>
        <v>-8042</v>
      </c>
    </row>
    <row r="44" spans="1:45" x14ac:dyDescent="0.2">
      <c r="A44" s="51" t="s">
        <v>249</v>
      </c>
      <c r="B44" s="79">
        <f t="shared" si="0"/>
        <v>-3873</v>
      </c>
      <c r="C44" s="79">
        <f t="shared" si="1"/>
        <v>-4124</v>
      </c>
      <c r="D44" s="79">
        <f t="shared" si="2"/>
        <v>-1046</v>
      </c>
      <c r="E44" s="79">
        <f t="shared" si="3"/>
        <v>511</v>
      </c>
      <c r="F44" s="79">
        <f t="shared" si="4"/>
        <v>-5813</v>
      </c>
      <c r="G44" s="79">
        <f t="shared" si="5"/>
        <v>1437</v>
      </c>
      <c r="H44" s="79">
        <f t="shared" si="6"/>
        <v>424</v>
      </c>
      <c r="I44" s="79">
        <f t="shared" si="7"/>
        <v>15157</v>
      </c>
      <c r="J44" s="79">
        <f t="shared" si="8"/>
        <v>8512</v>
      </c>
      <c r="K44" s="79">
        <f t="shared" si="9"/>
        <v>-897</v>
      </c>
      <c r="L44" s="79">
        <f>SUM(AK44:AL44)</f>
        <v>-21803</v>
      </c>
      <c r="M44" s="79">
        <f t="shared" si="10"/>
        <v>-50815</v>
      </c>
      <c r="N44" s="79">
        <f>SUM(N41:N43)</f>
        <v>-46531</v>
      </c>
      <c r="O44" s="79">
        <f>SUM(O41:O43)</f>
        <v>-89609</v>
      </c>
      <c r="P44" s="32"/>
      <c r="Q44" s="79">
        <v>-1776</v>
      </c>
      <c r="R44" s="79">
        <v>-2097</v>
      </c>
      <c r="S44" s="79">
        <v>115</v>
      </c>
      <c r="T44" s="79">
        <v>-4239</v>
      </c>
      <c r="U44" s="79">
        <v>-1788</v>
      </c>
      <c r="V44" s="79">
        <v>742</v>
      </c>
      <c r="W44" s="79">
        <v>902</v>
      </c>
      <c r="X44" s="79">
        <v>-391</v>
      </c>
      <c r="Y44" s="79">
        <v>-4618</v>
      </c>
      <c r="Z44" s="79">
        <v>-1195</v>
      </c>
      <c r="AA44" s="79">
        <v>2830</v>
      </c>
      <c r="AB44" s="79">
        <v>-1393</v>
      </c>
      <c r="AC44" s="79">
        <v>-2202</v>
      </c>
      <c r="AD44" s="79">
        <v>2626</v>
      </c>
      <c r="AE44" s="79">
        <v>6101</v>
      </c>
      <c r="AF44" s="79">
        <v>9056</v>
      </c>
      <c r="AG44" s="79">
        <v>9032</v>
      </c>
      <c r="AH44" s="79">
        <v>-520</v>
      </c>
      <c r="AI44" s="79">
        <v>-3428</v>
      </c>
      <c r="AJ44" s="79">
        <v>2531</v>
      </c>
      <c r="AK44" s="80">
        <v>-7309</v>
      </c>
      <c r="AL44" s="80">
        <v>-14494</v>
      </c>
      <c r="AM44" s="80">
        <f>SUM(AM41:AM43)</f>
        <v>-21683</v>
      </c>
      <c r="AN44" s="80">
        <v>-29132</v>
      </c>
      <c r="AO44" s="80">
        <f>SUM(AO41:AO43)</f>
        <v>-19421</v>
      </c>
      <c r="AP44" s="80">
        <f t="shared" si="11"/>
        <v>-27110</v>
      </c>
      <c r="AQ44" s="80">
        <f>SUM(AQ41:AQ43)</f>
        <v>-41711</v>
      </c>
      <c r="AR44" s="80">
        <f t="shared" si="12"/>
        <v>-47898</v>
      </c>
      <c r="AS44" s="80">
        <f>SUM(AS41:AS43)</f>
        <v>-34350</v>
      </c>
    </row>
    <row r="45" spans="1:45" x14ac:dyDescent="0.2">
      <c r="A45" s="52"/>
      <c r="B45" s="34"/>
      <c r="C45" s="34"/>
      <c r="D45" s="34"/>
      <c r="E45" s="34"/>
      <c r="F45" s="34"/>
      <c r="G45" s="34"/>
      <c r="H45" s="34"/>
      <c r="I45" s="34"/>
      <c r="J45" s="34"/>
      <c r="K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Q45" s="6"/>
      <c r="AS45" s="6"/>
    </row>
    <row r="46" spans="1:45" x14ac:dyDescent="0.2">
      <c r="A46" s="5" t="s">
        <v>250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Q46" s="6"/>
      <c r="AS46" s="6"/>
    </row>
    <row r="47" spans="1:45" x14ac:dyDescent="0.2">
      <c r="A47" s="6" t="s">
        <v>251</v>
      </c>
      <c r="B47" s="34">
        <f t="shared" ref="B47:B58" si="27">SUM(Q47:R47)</f>
        <v>117</v>
      </c>
      <c r="C47" s="34">
        <f t="shared" ref="C47:C58" si="28">SUM(S47:T47)</f>
        <v>71</v>
      </c>
      <c r="D47" s="34">
        <f t="shared" ref="D47:D58" si="29">SUM(U47:V47)</f>
        <v>15</v>
      </c>
      <c r="E47" s="34">
        <f t="shared" ref="E47:E58" si="30">SUM(W47:X47)</f>
        <v>66</v>
      </c>
      <c r="F47" s="34">
        <f t="shared" ref="F47:F58" si="31">SUM(Y47:Z47)</f>
        <v>188</v>
      </c>
      <c r="G47" s="34">
        <f t="shared" ref="G47:G58" si="32">SUM(AA47:AB47)</f>
        <v>93</v>
      </c>
      <c r="H47" s="34">
        <f t="shared" ref="H47:H58" si="33">SUM(AC47:AD47)</f>
        <v>294</v>
      </c>
      <c r="I47" s="34">
        <f t="shared" ref="I47:I58" si="34">SUM(AE47:AF47)</f>
        <v>57</v>
      </c>
      <c r="J47" s="34">
        <f t="shared" ref="J47:J58" si="35">SUM(AG47:AH47)</f>
        <v>346</v>
      </c>
      <c r="K47" s="34">
        <f t="shared" ref="K47:K58" si="36">SUM(AI47:AJ47)</f>
        <v>265</v>
      </c>
      <c r="L47" s="34">
        <f>SUM(AK47:AL47)</f>
        <v>266</v>
      </c>
      <c r="M47" s="34">
        <f t="shared" si="10"/>
        <v>10</v>
      </c>
      <c r="N47" s="34">
        <v>413</v>
      </c>
      <c r="O47" s="34">
        <f>996</f>
        <v>996</v>
      </c>
      <c r="Q47" s="34">
        <v>98</v>
      </c>
      <c r="R47" s="34">
        <v>19</v>
      </c>
      <c r="S47" s="34">
        <v>41</v>
      </c>
      <c r="T47" s="34">
        <v>30</v>
      </c>
      <c r="U47" s="34">
        <v>57</v>
      </c>
      <c r="V47" s="34">
        <v>-42</v>
      </c>
      <c r="W47" s="34">
        <v>52</v>
      </c>
      <c r="X47" s="34">
        <v>14</v>
      </c>
      <c r="Y47" s="34">
        <v>29</v>
      </c>
      <c r="Z47" s="34">
        <v>159</v>
      </c>
      <c r="AA47" s="34">
        <v>45</v>
      </c>
      <c r="AB47" s="34">
        <v>48</v>
      </c>
      <c r="AC47" s="34">
        <v>221</v>
      </c>
      <c r="AD47" s="34">
        <v>73</v>
      </c>
      <c r="AE47" s="34">
        <v>6</v>
      </c>
      <c r="AF47" s="34">
        <v>51</v>
      </c>
      <c r="AG47" s="34">
        <v>51</v>
      </c>
      <c r="AH47" s="34">
        <v>295</v>
      </c>
      <c r="AI47" s="34">
        <v>92</v>
      </c>
      <c r="AJ47" s="34">
        <v>173</v>
      </c>
      <c r="AK47" s="34">
        <v>195</v>
      </c>
      <c r="AL47" s="34">
        <v>71</v>
      </c>
      <c r="AM47" s="34">
        <v>31</v>
      </c>
      <c r="AN47" s="34">
        <v>-21</v>
      </c>
      <c r="AO47" s="34">
        <v>209</v>
      </c>
      <c r="AP47" s="34">
        <f t="shared" si="11"/>
        <v>204</v>
      </c>
      <c r="AQ47" s="34">
        <f>677</f>
        <v>677</v>
      </c>
      <c r="AR47" s="34">
        <f t="shared" si="12"/>
        <v>319</v>
      </c>
      <c r="AS47" s="34">
        <f>594</f>
        <v>594</v>
      </c>
    </row>
    <row r="48" spans="1:45" x14ac:dyDescent="0.2">
      <c r="A48" s="6" t="s">
        <v>252</v>
      </c>
      <c r="B48" s="34">
        <f t="shared" si="27"/>
        <v>0</v>
      </c>
      <c r="C48" s="34">
        <f t="shared" si="28"/>
        <v>0</v>
      </c>
      <c r="D48" s="34">
        <f t="shared" si="29"/>
        <v>0</v>
      </c>
      <c r="E48" s="34">
        <f t="shared" si="30"/>
        <v>0</v>
      </c>
      <c r="F48" s="34">
        <f t="shared" si="31"/>
        <v>0</v>
      </c>
      <c r="G48" s="34">
        <f t="shared" si="32"/>
        <v>0</v>
      </c>
      <c r="H48" s="34">
        <f t="shared" si="33"/>
        <v>232</v>
      </c>
      <c r="I48" s="34">
        <f t="shared" si="34"/>
        <v>8</v>
      </c>
      <c r="J48" s="34">
        <f t="shared" si="35"/>
        <v>76</v>
      </c>
      <c r="K48" s="34">
        <f t="shared" si="36"/>
        <v>440</v>
      </c>
      <c r="L48" s="34">
        <f t="shared" ref="L48:L58" si="37">SUM(AK48:AL48)</f>
        <v>474</v>
      </c>
      <c r="M48" s="34">
        <f t="shared" si="10"/>
        <v>12</v>
      </c>
      <c r="N48" s="34">
        <v>8</v>
      </c>
      <c r="O48" s="34">
        <f>65</f>
        <v>65</v>
      </c>
      <c r="Q48" s="34"/>
      <c r="R48" s="34">
        <v>0</v>
      </c>
      <c r="S48" s="34"/>
      <c r="T48" s="34">
        <v>0</v>
      </c>
      <c r="U48" s="34"/>
      <c r="V48" s="34">
        <v>0</v>
      </c>
      <c r="W48" s="34"/>
      <c r="X48" s="34">
        <v>0</v>
      </c>
      <c r="Y48" s="34"/>
      <c r="Z48" s="34">
        <v>0</v>
      </c>
      <c r="AA48" s="34">
        <v>0</v>
      </c>
      <c r="AB48" s="34">
        <v>0</v>
      </c>
      <c r="AC48" s="34">
        <v>224</v>
      </c>
      <c r="AD48" s="34">
        <v>8</v>
      </c>
      <c r="AE48" s="34">
        <v>8</v>
      </c>
      <c r="AF48" s="34">
        <v>0</v>
      </c>
      <c r="AG48" s="34">
        <v>0</v>
      </c>
      <c r="AH48" s="34">
        <v>76</v>
      </c>
      <c r="AI48" s="34">
        <v>62</v>
      </c>
      <c r="AJ48" s="34">
        <v>378</v>
      </c>
      <c r="AK48" s="34">
        <v>296</v>
      </c>
      <c r="AL48" s="34">
        <v>178</v>
      </c>
      <c r="AM48" s="34">
        <v>6</v>
      </c>
      <c r="AN48" s="34">
        <v>6</v>
      </c>
      <c r="AO48" s="34">
        <v>6</v>
      </c>
      <c r="AP48" s="34">
        <f t="shared" si="11"/>
        <v>2</v>
      </c>
      <c r="AQ48" s="34">
        <f>43</f>
        <v>43</v>
      </c>
      <c r="AR48" s="34">
        <f t="shared" si="12"/>
        <v>22</v>
      </c>
      <c r="AS48" s="34">
        <f>3</f>
        <v>3</v>
      </c>
    </row>
    <row r="49" spans="1:45" x14ac:dyDescent="0.2">
      <c r="A49" s="6" t="s">
        <v>253</v>
      </c>
      <c r="B49" s="34">
        <f t="shared" si="27"/>
        <v>140</v>
      </c>
      <c r="C49" s="34">
        <f t="shared" si="28"/>
        <v>552</v>
      </c>
      <c r="D49" s="34">
        <f t="shared" si="29"/>
        <v>611</v>
      </c>
      <c r="E49" s="34">
        <f t="shared" si="30"/>
        <v>823</v>
      </c>
      <c r="F49" s="34">
        <f t="shared" si="31"/>
        <v>1311</v>
      </c>
      <c r="G49" s="34">
        <f t="shared" si="32"/>
        <v>1153</v>
      </c>
      <c r="H49" s="34">
        <f t="shared" si="33"/>
        <v>918</v>
      </c>
      <c r="I49" s="34">
        <f t="shared" si="34"/>
        <v>1125</v>
      </c>
      <c r="J49" s="34">
        <f t="shared" si="35"/>
        <v>2167</v>
      </c>
      <c r="K49" s="34">
        <f t="shared" si="36"/>
        <v>1103</v>
      </c>
      <c r="L49" s="34">
        <f t="shared" si="37"/>
        <v>1763</v>
      </c>
      <c r="M49" s="34">
        <f t="shared" si="10"/>
        <v>1211</v>
      </c>
      <c r="N49" s="34">
        <v>1952</v>
      </c>
      <c r="O49" s="34">
        <f>1519</f>
        <v>1519</v>
      </c>
      <c r="Q49" s="34">
        <v>69</v>
      </c>
      <c r="R49" s="34">
        <v>71</v>
      </c>
      <c r="S49" s="34">
        <v>251</v>
      </c>
      <c r="T49" s="34">
        <v>301</v>
      </c>
      <c r="U49" s="34">
        <v>351</v>
      </c>
      <c r="V49" s="34">
        <v>260</v>
      </c>
      <c r="W49" s="34">
        <v>342</v>
      </c>
      <c r="X49" s="34">
        <v>481</v>
      </c>
      <c r="Y49" s="34">
        <v>802</v>
      </c>
      <c r="Z49" s="34">
        <v>509</v>
      </c>
      <c r="AA49" s="34">
        <v>580</v>
      </c>
      <c r="AB49" s="34">
        <v>573</v>
      </c>
      <c r="AC49" s="34">
        <v>410</v>
      </c>
      <c r="AD49" s="34">
        <v>508</v>
      </c>
      <c r="AE49" s="34">
        <v>431</v>
      </c>
      <c r="AF49" s="34">
        <v>694</v>
      </c>
      <c r="AG49" s="34">
        <v>1238</v>
      </c>
      <c r="AH49" s="34">
        <v>929</v>
      </c>
      <c r="AI49" s="34">
        <v>723</v>
      </c>
      <c r="AJ49" s="34">
        <v>380</v>
      </c>
      <c r="AK49" s="34">
        <v>496</v>
      </c>
      <c r="AL49" s="34">
        <v>1267</v>
      </c>
      <c r="AM49" s="34">
        <v>680</v>
      </c>
      <c r="AN49" s="34">
        <v>531</v>
      </c>
      <c r="AO49" s="34">
        <v>919</v>
      </c>
      <c r="AP49" s="34">
        <f t="shared" si="11"/>
        <v>1033</v>
      </c>
      <c r="AQ49" s="34">
        <f>649</f>
        <v>649</v>
      </c>
      <c r="AR49" s="34">
        <f t="shared" si="12"/>
        <v>870</v>
      </c>
      <c r="AS49" s="34">
        <f>883</f>
        <v>883</v>
      </c>
    </row>
    <row r="50" spans="1:45" x14ac:dyDescent="0.2">
      <c r="A50" s="6" t="s">
        <v>254</v>
      </c>
      <c r="B50" s="34">
        <f t="shared" si="27"/>
        <v>-726</v>
      </c>
      <c r="C50" s="34">
        <f t="shared" si="28"/>
        <v>-844</v>
      </c>
      <c r="D50" s="34">
        <f t="shared" si="29"/>
        <v>-431</v>
      </c>
      <c r="E50" s="34">
        <f t="shared" si="30"/>
        <v>-653</v>
      </c>
      <c r="F50" s="34">
        <f t="shared" si="31"/>
        <v>-369</v>
      </c>
      <c r="G50" s="34">
        <f t="shared" si="32"/>
        <v>-711</v>
      </c>
      <c r="H50" s="34">
        <f t="shared" si="33"/>
        <v>-707</v>
      </c>
      <c r="I50" s="34">
        <f t="shared" si="34"/>
        <v>-550</v>
      </c>
      <c r="J50" s="34">
        <f t="shared" si="35"/>
        <v>-496</v>
      </c>
      <c r="K50" s="34">
        <f t="shared" si="36"/>
        <v>-396</v>
      </c>
      <c r="L50" s="34">
        <f t="shared" si="37"/>
        <v>-560</v>
      </c>
      <c r="M50" s="34">
        <f t="shared" si="10"/>
        <v>-1201</v>
      </c>
      <c r="N50" s="34">
        <v>-2146</v>
      </c>
      <c r="O50" s="34">
        <f>-6467</f>
        <v>-6467</v>
      </c>
      <c r="Q50" s="34">
        <v>-191</v>
      </c>
      <c r="R50" s="34">
        <v>-535</v>
      </c>
      <c r="S50" s="34">
        <v>-297</v>
      </c>
      <c r="T50" s="34">
        <v>-547</v>
      </c>
      <c r="U50" s="34">
        <v>-160</v>
      </c>
      <c r="V50" s="34">
        <v>-271</v>
      </c>
      <c r="W50" s="34">
        <v>-364</v>
      </c>
      <c r="X50" s="34">
        <v>-289</v>
      </c>
      <c r="Y50" s="34">
        <v>-95</v>
      </c>
      <c r="Z50" s="34">
        <v>-274</v>
      </c>
      <c r="AA50" s="34">
        <v>-218</v>
      </c>
      <c r="AB50" s="34">
        <v>-493</v>
      </c>
      <c r="AC50" s="34">
        <v>-365</v>
      </c>
      <c r="AD50" s="34">
        <v>-342</v>
      </c>
      <c r="AE50" s="34">
        <v>-266</v>
      </c>
      <c r="AF50" s="34">
        <v>-284</v>
      </c>
      <c r="AG50" s="34">
        <v>-335</v>
      </c>
      <c r="AH50" s="34">
        <v>-161</v>
      </c>
      <c r="AI50" s="34">
        <v>-306</v>
      </c>
      <c r="AJ50" s="34">
        <v>-90</v>
      </c>
      <c r="AK50" s="34">
        <v>-236</v>
      </c>
      <c r="AL50" s="34">
        <v>-324</v>
      </c>
      <c r="AM50" s="34">
        <v>-331</v>
      </c>
      <c r="AN50" s="34">
        <v>-870</v>
      </c>
      <c r="AO50" s="34">
        <v>-981</v>
      </c>
      <c r="AP50" s="34">
        <f t="shared" si="11"/>
        <v>-1165</v>
      </c>
      <c r="AQ50" s="34">
        <f>-1640</f>
        <v>-1640</v>
      </c>
      <c r="AR50" s="34">
        <f t="shared" si="12"/>
        <v>-4827</v>
      </c>
      <c r="AS50" s="34">
        <v>-2424</v>
      </c>
    </row>
    <row r="51" spans="1:45" x14ac:dyDescent="0.2">
      <c r="A51" s="6" t="s">
        <v>255</v>
      </c>
      <c r="B51" s="34">
        <f t="shared" si="27"/>
        <v>-253</v>
      </c>
      <c r="C51" s="34">
        <f t="shared" si="28"/>
        <v>-371</v>
      </c>
      <c r="D51" s="34">
        <f t="shared" si="29"/>
        <v>-55</v>
      </c>
      <c r="E51" s="34">
        <f t="shared" si="30"/>
        <v>-178</v>
      </c>
      <c r="F51" s="34">
        <f t="shared" si="31"/>
        <v>-123</v>
      </c>
      <c r="G51" s="34">
        <f t="shared" si="32"/>
        <v>-435</v>
      </c>
      <c r="H51" s="34">
        <f t="shared" si="33"/>
        <v>-60</v>
      </c>
      <c r="I51" s="34">
        <f t="shared" si="34"/>
        <v>-91</v>
      </c>
      <c r="J51" s="34">
        <f t="shared" si="35"/>
        <v>48</v>
      </c>
      <c r="K51" s="34">
        <f t="shared" si="36"/>
        <v>-216</v>
      </c>
      <c r="L51" s="34">
        <f t="shared" si="37"/>
        <v>-823</v>
      </c>
      <c r="M51" s="34">
        <f t="shared" si="10"/>
        <v>-13</v>
      </c>
      <c r="N51" s="34">
        <v>-165</v>
      </c>
      <c r="O51" s="34">
        <f>-682</f>
        <v>-682</v>
      </c>
      <c r="Q51" s="34">
        <v>-61</v>
      </c>
      <c r="R51" s="34">
        <v>-192</v>
      </c>
      <c r="S51" s="34">
        <v>-11</v>
      </c>
      <c r="T51" s="34">
        <v>-360</v>
      </c>
      <c r="U51" s="34">
        <v>-37</v>
      </c>
      <c r="V51" s="34">
        <v>-18</v>
      </c>
      <c r="W51" s="34">
        <v>-16</v>
      </c>
      <c r="X51" s="34">
        <v>-162</v>
      </c>
      <c r="Y51" s="34">
        <v>-4</v>
      </c>
      <c r="Z51" s="34">
        <v>-119</v>
      </c>
      <c r="AA51" s="34">
        <v>-41</v>
      </c>
      <c r="AB51" s="34">
        <v>-394</v>
      </c>
      <c r="AC51" s="34">
        <v>-27</v>
      </c>
      <c r="AD51" s="34">
        <v>-33</v>
      </c>
      <c r="AE51" s="34">
        <v>-19</v>
      </c>
      <c r="AF51" s="34">
        <v>-72</v>
      </c>
      <c r="AG51" s="34">
        <v>-2</v>
      </c>
      <c r="AH51" s="34">
        <v>50</v>
      </c>
      <c r="AI51" s="34">
        <v>-8</v>
      </c>
      <c r="AJ51" s="34">
        <v>-208</v>
      </c>
      <c r="AK51" s="34">
        <v>-1</v>
      </c>
      <c r="AL51" s="34">
        <v>-822</v>
      </c>
      <c r="AM51" s="34">
        <v>31</v>
      </c>
      <c r="AN51" s="34">
        <v>-44</v>
      </c>
      <c r="AO51" s="34">
        <f>0</f>
        <v>0</v>
      </c>
      <c r="AP51" s="34">
        <f t="shared" si="11"/>
        <v>-165</v>
      </c>
      <c r="AQ51" s="34">
        <f>-370</f>
        <v>-370</v>
      </c>
      <c r="AR51" s="34">
        <f t="shared" si="12"/>
        <v>-312</v>
      </c>
      <c r="AS51" s="34">
        <f>-2911</f>
        <v>-2911</v>
      </c>
    </row>
    <row r="52" spans="1:45" x14ac:dyDescent="0.2">
      <c r="A52" s="6" t="s">
        <v>256</v>
      </c>
      <c r="B52" s="34">
        <f t="shared" si="27"/>
        <v>234</v>
      </c>
      <c r="C52" s="34">
        <f t="shared" si="28"/>
        <v>363</v>
      </c>
      <c r="D52" s="34">
        <f t="shared" si="29"/>
        <v>85</v>
      </c>
      <c r="E52" s="34">
        <f t="shared" si="30"/>
        <v>174</v>
      </c>
      <c r="F52" s="34">
        <f t="shared" si="31"/>
        <v>66</v>
      </c>
      <c r="G52" s="34">
        <f t="shared" si="32"/>
        <v>25</v>
      </c>
      <c r="H52" s="34">
        <f t="shared" si="33"/>
        <v>93</v>
      </c>
      <c r="I52" s="34">
        <f t="shared" si="34"/>
        <v>6</v>
      </c>
      <c r="J52" s="34">
        <f t="shared" si="35"/>
        <v>0</v>
      </c>
      <c r="K52" s="34">
        <f t="shared" si="36"/>
        <v>2</v>
      </c>
      <c r="L52" s="34">
        <f t="shared" si="37"/>
        <v>7</v>
      </c>
      <c r="M52" s="34">
        <f t="shared" si="10"/>
        <v>64</v>
      </c>
      <c r="N52" s="34">
        <v>173</v>
      </c>
      <c r="O52" s="34">
        <f>1</f>
        <v>1</v>
      </c>
      <c r="Q52" s="34">
        <v>53</v>
      </c>
      <c r="R52" s="34">
        <v>181</v>
      </c>
      <c r="S52" s="34">
        <v>23</v>
      </c>
      <c r="T52" s="34">
        <v>340</v>
      </c>
      <c r="U52" s="34">
        <v>17</v>
      </c>
      <c r="V52" s="34">
        <v>68</v>
      </c>
      <c r="W52" s="34">
        <v>79</v>
      </c>
      <c r="X52" s="34">
        <v>95</v>
      </c>
      <c r="Y52" s="34">
        <v>21</v>
      </c>
      <c r="Z52" s="34">
        <v>45</v>
      </c>
      <c r="AA52" s="34">
        <v>17</v>
      </c>
      <c r="AB52" s="34">
        <v>8</v>
      </c>
      <c r="AC52" s="34">
        <v>317</v>
      </c>
      <c r="AD52" s="34">
        <v>-224</v>
      </c>
      <c r="AE52" s="34">
        <v>34</v>
      </c>
      <c r="AF52" s="34">
        <v>-28</v>
      </c>
      <c r="AG52" s="34">
        <v>18</v>
      </c>
      <c r="AH52" s="34">
        <v>-18</v>
      </c>
      <c r="AI52" s="34">
        <v>29</v>
      </c>
      <c r="AJ52" s="34">
        <v>-27</v>
      </c>
      <c r="AK52" s="34">
        <v>72</v>
      </c>
      <c r="AL52" s="34">
        <v>-65</v>
      </c>
      <c r="AM52" s="34">
        <v>-30</v>
      </c>
      <c r="AN52" s="34">
        <v>94</v>
      </c>
      <c r="AO52" s="34">
        <f>15</f>
        <v>15</v>
      </c>
      <c r="AP52" s="34">
        <f t="shared" si="11"/>
        <v>158</v>
      </c>
      <c r="AQ52" s="34">
        <f>0</f>
        <v>0</v>
      </c>
      <c r="AR52" s="34">
        <f t="shared" si="12"/>
        <v>1</v>
      </c>
      <c r="AS52" s="34">
        <f>2703</f>
        <v>2703</v>
      </c>
    </row>
    <row r="53" spans="1:45" x14ac:dyDescent="0.2">
      <c r="A53" s="6" t="s">
        <v>257</v>
      </c>
      <c r="B53" s="34">
        <f t="shared" si="27"/>
        <v>-17</v>
      </c>
      <c r="C53" s="34">
        <f t="shared" si="28"/>
        <v>-8</v>
      </c>
      <c r="D53" s="34">
        <f t="shared" si="29"/>
        <v>-20</v>
      </c>
      <c r="E53" s="34">
        <f t="shared" si="30"/>
        <v>7</v>
      </c>
      <c r="F53" s="34">
        <f t="shared" si="31"/>
        <v>0</v>
      </c>
      <c r="G53" s="34">
        <f t="shared" si="32"/>
        <v>0</v>
      </c>
      <c r="H53" s="34">
        <f t="shared" si="33"/>
        <v>0</v>
      </c>
      <c r="I53" s="34">
        <f t="shared" si="34"/>
        <v>0</v>
      </c>
      <c r="J53" s="34">
        <f t="shared" si="35"/>
        <v>19</v>
      </c>
      <c r="K53" s="34">
        <f t="shared" si="36"/>
        <v>0</v>
      </c>
      <c r="L53" s="34">
        <f t="shared" si="37"/>
        <v>32</v>
      </c>
      <c r="M53" s="34">
        <f t="shared" si="10"/>
        <v>0</v>
      </c>
      <c r="N53" s="34">
        <v>1</v>
      </c>
      <c r="O53" s="34">
        <f>0</f>
        <v>0</v>
      </c>
      <c r="Q53" s="34">
        <v>1</v>
      </c>
      <c r="R53" s="34">
        <v>-18</v>
      </c>
      <c r="S53" s="34">
        <v>0</v>
      </c>
      <c r="T53" s="34">
        <v>-8</v>
      </c>
      <c r="U53" s="34">
        <v>-7</v>
      </c>
      <c r="V53" s="34">
        <v>-13</v>
      </c>
      <c r="W53" s="34">
        <v>0</v>
      </c>
      <c r="X53" s="34">
        <v>7</v>
      </c>
      <c r="Y53" s="34">
        <v>-3</v>
      </c>
      <c r="Z53" s="34">
        <v>3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19</v>
      </c>
      <c r="AI53" s="34">
        <v>0</v>
      </c>
      <c r="AJ53" s="34">
        <v>0</v>
      </c>
      <c r="AK53" s="34">
        <v>28</v>
      </c>
      <c r="AL53" s="34">
        <v>4</v>
      </c>
      <c r="AM53" s="34">
        <v>0</v>
      </c>
      <c r="AN53" s="34">
        <v>0</v>
      </c>
      <c r="AO53" s="34">
        <v>0</v>
      </c>
      <c r="AP53" s="34">
        <f t="shared" si="11"/>
        <v>1</v>
      </c>
      <c r="AQ53" s="34">
        <f>0</f>
        <v>0</v>
      </c>
      <c r="AR53" s="34">
        <f t="shared" si="12"/>
        <v>0</v>
      </c>
      <c r="AS53" s="34">
        <f>0</f>
        <v>0</v>
      </c>
    </row>
    <row r="54" spans="1:45" x14ac:dyDescent="0.2">
      <c r="A54" s="6" t="s">
        <v>308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/>
      <c r="J54" s="34">
        <v>0</v>
      </c>
      <c r="K54" s="34">
        <v>0</v>
      </c>
      <c r="L54" s="34">
        <f t="shared" si="37"/>
        <v>-389</v>
      </c>
      <c r="M54" s="34">
        <f t="shared" si="10"/>
        <v>-247</v>
      </c>
      <c r="N54" s="34">
        <v>-9014</v>
      </c>
      <c r="O54" s="34">
        <f>0</f>
        <v>0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>
        <v>-389</v>
      </c>
      <c r="AM54" s="34">
        <v>-156</v>
      </c>
      <c r="AN54" s="34">
        <v>-91</v>
      </c>
      <c r="AO54" s="34">
        <v>0</v>
      </c>
      <c r="AP54" s="34">
        <f t="shared" si="11"/>
        <v>-9014</v>
      </c>
      <c r="AQ54" s="34">
        <f>0</f>
        <v>0</v>
      </c>
      <c r="AR54" s="34">
        <f t="shared" si="12"/>
        <v>0</v>
      </c>
      <c r="AS54" s="34">
        <f>0</f>
        <v>0</v>
      </c>
    </row>
    <row r="55" spans="1:45" x14ac:dyDescent="0.2">
      <c r="A55" s="6" t="s">
        <v>258</v>
      </c>
      <c r="B55" s="34">
        <f t="shared" si="27"/>
        <v>0</v>
      </c>
      <c r="C55" s="34">
        <f t="shared" si="28"/>
        <v>0</v>
      </c>
      <c r="D55" s="34">
        <f t="shared" si="29"/>
        <v>10</v>
      </c>
      <c r="E55" s="34">
        <f t="shared" si="30"/>
        <v>0</v>
      </c>
      <c r="F55" s="34">
        <f t="shared" si="31"/>
        <v>0</v>
      </c>
      <c r="G55" s="34">
        <f t="shared" si="32"/>
        <v>0</v>
      </c>
      <c r="H55" s="34">
        <f t="shared" si="33"/>
        <v>0</v>
      </c>
      <c r="I55" s="34">
        <f t="shared" si="34"/>
        <v>0</v>
      </c>
      <c r="J55" s="34">
        <f t="shared" si="35"/>
        <v>-10481</v>
      </c>
      <c r="K55" s="34">
        <f t="shared" si="36"/>
        <v>0</v>
      </c>
      <c r="L55" s="34">
        <f t="shared" si="37"/>
        <v>0</v>
      </c>
      <c r="M55" s="34">
        <f t="shared" si="10"/>
        <v>536</v>
      </c>
      <c r="N55" s="34">
        <v>0</v>
      </c>
      <c r="O55" s="34">
        <f>0</f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10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-10481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533</v>
      </c>
      <c r="AN55" s="34">
        <v>3</v>
      </c>
      <c r="AO55" s="34">
        <v>0</v>
      </c>
      <c r="AP55" s="34">
        <f t="shared" si="11"/>
        <v>0</v>
      </c>
      <c r="AQ55" s="34">
        <f>0</f>
        <v>0</v>
      </c>
      <c r="AR55" s="34">
        <f t="shared" si="12"/>
        <v>0</v>
      </c>
      <c r="AS55" s="34">
        <f>0</f>
        <v>0</v>
      </c>
    </row>
    <row r="56" spans="1:45" x14ac:dyDescent="0.2">
      <c r="A56" s="6" t="s">
        <v>259</v>
      </c>
      <c r="B56" s="34">
        <f t="shared" si="27"/>
        <v>-1027</v>
      </c>
      <c r="C56" s="34">
        <f t="shared" si="28"/>
        <v>-5506</v>
      </c>
      <c r="D56" s="34">
        <f t="shared" si="29"/>
        <v>0</v>
      </c>
      <c r="E56" s="34">
        <f t="shared" si="30"/>
        <v>0</v>
      </c>
      <c r="F56" s="34">
        <f t="shared" si="31"/>
        <v>0</v>
      </c>
      <c r="G56" s="34">
        <f t="shared" si="32"/>
        <v>-265</v>
      </c>
      <c r="H56" s="34">
        <f t="shared" si="33"/>
        <v>-263</v>
      </c>
      <c r="I56" s="34">
        <f t="shared" si="34"/>
        <v>-112</v>
      </c>
      <c r="J56" s="34">
        <f t="shared" si="35"/>
        <v>-75</v>
      </c>
      <c r="K56" s="34">
        <f t="shared" si="36"/>
        <v>-139</v>
      </c>
      <c r="L56" s="34">
        <f t="shared" si="37"/>
        <v>-4</v>
      </c>
      <c r="M56" s="34">
        <f t="shared" si="10"/>
        <v>-1</v>
      </c>
      <c r="N56" s="34">
        <v>0</v>
      </c>
      <c r="O56" s="34">
        <f>0</f>
        <v>0</v>
      </c>
      <c r="Q56" s="34">
        <v>-493</v>
      </c>
      <c r="R56" s="34">
        <v>-534</v>
      </c>
      <c r="S56" s="34">
        <v>-1677</v>
      </c>
      <c r="T56" s="34">
        <v>-3829</v>
      </c>
      <c r="U56" s="34">
        <v>0</v>
      </c>
      <c r="V56" s="34">
        <v>0</v>
      </c>
      <c r="W56" s="34">
        <v>-964</v>
      </c>
      <c r="X56" s="34">
        <v>964</v>
      </c>
      <c r="Y56" s="34">
        <v>-1182</v>
      </c>
      <c r="Z56" s="34">
        <v>1182</v>
      </c>
      <c r="AA56" s="34">
        <v>-128</v>
      </c>
      <c r="AB56" s="34">
        <v>-137</v>
      </c>
      <c r="AC56" s="34">
        <v>-377</v>
      </c>
      <c r="AD56" s="34">
        <v>114</v>
      </c>
      <c r="AE56" s="34">
        <v>-190</v>
      </c>
      <c r="AF56" s="34">
        <v>78</v>
      </c>
      <c r="AG56" s="34">
        <v>-826</v>
      </c>
      <c r="AH56" s="34">
        <v>751</v>
      </c>
      <c r="AI56" s="34">
        <v>-104</v>
      </c>
      <c r="AJ56" s="34">
        <v>-35</v>
      </c>
      <c r="AK56" s="34">
        <v>-6</v>
      </c>
      <c r="AL56" s="34">
        <v>2</v>
      </c>
      <c r="AM56" s="34">
        <v>-3</v>
      </c>
      <c r="AN56" s="34">
        <v>2</v>
      </c>
      <c r="AO56" s="34">
        <v>0</v>
      </c>
      <c r="AP56" s="34">
        <f t="shared" si="11"/>
        <v>0</v>
      </c>
      <c r="AQ56" s="34">
        <f>0</f>
        <v>0</v>
      </c>
      <c r="AR56" s="34">
        <f t="shared" si="12"/>
        <v>0</v>
      </c>
      <c r="AS56" s="34">
        <f>0</f>
        <v>0</v>
      </c>
    </row>
    <row r="57" spans="1:45" x14ac:dyDescent="0.2">
      <c r="A57" s="6" t="s">
        <v>260</v>
      </c>
      <c r="B57" s="34">
        <f t="shared" si="27"/>
        <v>0</v>
      </c>
      <c r="C57" s="34">
        <f t="shared" si="28"/>
        <v>0</v>
      </c>
      <c r="D57" s="34">
        <f t="shared" si="29"/>
        <v>1606</v>
      </c>
      <c r="E57" s="34">
        <f t="shared" si="30"/>
        <v>3038</v>
      </c>
      <c r="F57" s="34">
        <f t="shared" si="31"/>
        <v>1155</v>
      </c>
      <c r="G57" s="34">
        <f t="shared" si="32"/>
        <v>507</v>
      </c>
      <c r="H57" s="34">
        <f t="shared" si="33"/>
        <v>385</v>
      </c>
      <c r="I57" s="34">
        <f t="shared" si="34"/>
        <v>153</v>
      </c>
      <c r="J57" s="34">
        <f t="shared" si="35"/>
        <v>1359</v>
      </c>
      <c r="K57" s="34">
        <f t="shared" si="36"/>
        <v>105</v>
      </c>
      <c r="L57" s="34">
        <f t="shared" si="37"/>
        <v>149</v>
      </c>
      <c r="M57" s="34">
        <f t="shared" si="10"/>
        <v>45</v>
      </c>
      <c r="N57" s="34">
        <f t="shared" si="10"/>
        <v>0</v>
      </c>
      <c r="O57" s="34">
        <f>0</f>
        <v>0</v>
      </c>
      <c r="Q57" s="34">
        <v>0</v>
      </c>
      <c r="R57" s="34">
        <v>0</v>
      </c>
      <c r="S57" s="34">
        <v>0</v>
      </c>
      <c r="T57" s="34">
        <v>0</v>
      </c>
      <c r="U57" s="34">
        <v>2850</v>
      </c>
      <c r="V57" s="34">
        <v>-1244</v>
      </c>
      <c r="W57" s="34">
        <v>0</v>
      </c>
      <c r="X57" s="34">
        <v>3038</v>
      </c>
      <c r="Y57" s="34">
        <v>584</v>
      </c>
      <c r="Z57" s="34">
        <v>571</v>
      </c>
      <c r="AA57" s="34">
        <v>15</v>
      </c>
      <c r="AB57" s="34">
        <v>492</v>
      </c>
      <c r="AC57" s="34">
        <v>40</v>
      </c>
      <c r="AD57" s="34">
        <v>345</v>
      </c>
      <c r="AE57" s="34">
        <v>153</v>
      </c>
      <c r="AF57" s="34">
        <v>0</v>
      </c>
      <c r="AG57" s="34">
        <v>885</v>
      </c>
      <c r="AH57" s="34">
        <v>474</v>
      </c>
      <c r="AI57" s="34">
        <v>105</v>
      </c>
      <c r="AJ57" s="34">
        <v>0</v>
      </c>
      <c r="AK57" s="34">
        <v>125</v>
      </c>
      <c r="AL57" s="34">
        <v>24</v>
      </c>
      <c r="AM57" s="34">
        <v>45</v>
      </c>
      <c r="AN57" s="34">
        <v>0</v>
      </c>
      <c r="AO57" s="34">
        <v>0</v>
      </c>
      <c r="AP57" s="34">
        <f t="shared" si="11"/>
        <v>0</v>
      </c>
      <c r="AQ57" s="34">
        <f>0</f>
        <v>0</v>
      </c>
      <c r="AR57" s="34">
        <f t="shared" si="12"/>
        <v>0</v>
      </c>
      <c r="AS57" s="34">
        <f>-23</f>
        <v>-23</v>
      </c>
    </row>
    <row r="58" spans="1:45" x14ac:dyDescent="0.2">
      <c r="A58" s="51" t="s">
        <v>261</v>
      </c>
      <c r="B58" s="79">
        <f t="shared" si="27"/>
        <v>-1532</v>
      </c>
      <c r="C58" s="79">
        <f t="shared" si="28"/>
        <v>-5743</v>
      </c>
      <c r="D58" s="79">
        <f t="shared" si="29"/>
        <v>1821</v>
      </c>
      <c r="E58" s="79">
        <f t="shared" si="30"/>
        <v>3277</v>
      </c>
      <c r="F58" s="79">
        <f t="shared" si="31"/>
        <v>2228</v>
      </c>
      <c r="G58" s="79">
        <f t="shared" si="32"/>
        <v>367</v>
      </c>
      <c r="H58" s="79">
        <f t="shared" si="33"/>
        <v>892</v>
      </c>
      <c r="I58" s="79">
        <f t="shared" si="34"/>
        <v>596</v>
      </c>
      <c r="J58" s="79">
        <f t="shared" si="35"/>
        <v>-7037</v>
      </c>
      <c r="K58" s="79">
        <f t="shared" si="36"/>
        <v>1164</v>
      </c>
      <c r="L58" s="79">
        <f t="shared" si="37"/>
        <v>915</v>
      </c>
      <c r="M58" s="79">
        <f t="shared" si="10"/>
        <v>416</v>
      </c>
      <c r="N58" s="79">
        <f>SUM(N47:N57)</f>
        <v>-8778</v>
      </c>
      <c r="O58" s="79">
        <f>SUM(O47:O57)</f>
        <v>-4568</v>
      </c>
      <c r="P58" s="32"/>
      <c r="Q58" s="79">
        <v>-524</v>
      </c>
      <c r="R58" s="79">
        <v>-1008</v>
      </c>
      <c r="S58" s="79">
        <v>-1670</v>
      </c>
      <c r="T58" s="79">
        <v>-4073</v>
      </c>
      <c r="U58" s="79">
        <v>3071</v>
      </c>
      <c r="V58" s="79">
        <v>-1250</v>
      </c>
      <c r="W58" s="79">
        <v>-871</v>
      </c>
      <c r="X58" s="79">
        <v>4148</v>
      </c>
      <c r="Y58" s="79">
        <v>152</v>
      </c>
      <c r="Z58" s="79">
        <v>2076</v>
      </c>
      <c r="AA58" s="79">
        <v>270</v>
      </c>
      <c r="AB58" s="79">
        <v>97</v>
      </c>
      <c r="AC58" s="79">
        <v>443</v>
      </c>
      <c r="AD58" s="79">
        <v>449</v>
      </c>
      <c r="AE58" s="79">
        <v>157</v>
      </c>
      <c r="AF58" s="79">
        <v>439</v>
      </c>
      <c r="AG58" s="79">
        <v>-9452</v>
      </c>
      <c r="AH58" s="79">
        <v>2415</v>
      </c>
      <c r="AI58" s="79">
        <v>593</v>
      </c>
      <c r="AJ58" s="79">
        <v>571</v>
      </c>
      <c r="AK58" s="80">
        <v>969</v>
      </c>
      <c r="AL58" s="80">
        <v>-54</v>
      </c>
      <c r="AM58" s="80">
        <f>SUM(AM47:AM57)</f>
        <v>806</v>
      </c>
      <c r="AN58" s="80">
        <v>-390</v>
      </c>
      <c r="AO58" s="80">
        <f>SUM(AO47:AO57)</f>
        <v>168</v>
      </c>
      <c r="AP58" s="80">
        <f t="shared" si="11"/>
        <v>-8946</v>
      </c>
      <c r="AQ58" s="80">
        <f>SUM(AQ47:AQ57)</f>
        <v>-641</v>
      </c>
      <c r="AR58" s="80">
        <f t="shared" si="12"/>
        <v>-3927</v>
      </c>
      <c r="AS58" s="80">
        <f>SUM(AS47:AS57)</f>
        <v>-1175</v>
      </c>
    </row>
    <row r="59" spans="1:45" x14ac:dyDescent="0.2">
      <c r="A59" s="53"/>
      <c r="B59" s="34"/>
      <c r="C59" s="34"/>
      <c r="D59" s="34"/>
      <c r="E59" s="34"/>
      <c r="F59" s="34"/>
      <c r="G59" s="34"/>
      <c r="H59" s="34"/>
      <c r="I59" s="34"/>
      <c r="J59" s="34"/>
      <c r="K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Q59" s="6"/>
      <c r="AS59" s="6"/>
    </row>
    <row r="60" spans="1:45" x14ac:dyDescent="0.2">
      <c r="A60" s="5" t="s">
        <v>262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Q60" s="6"/>
      <c r="AS60" s="6"/>
    </row>
    <row r="61" spans="1:45" x14ac:dyDescent="0.2">
      <c r="A61" s="6" t="s">
        <v>263</v>
      </c>
      <c r="B61" s="34">
        <f t="shared" ref="B61:B74" si="38">SUM(Q61:R61)</f>
        <v>13487</v>
      </c>
      <c r="C61" s="34">
        <f t="shared" ref="C61:C74" si="39">SUM(S61:T61)</f>
        <v>0</v>
      </c>
      <c r="D61" s="34">
        <f t="shared" ref="D61:D74" si="40">SUM(U61:V61)</f>
        <v>0</v>
      </c>
      <c r="E61" s="34">
        <f t="shared" ref="E61:E74" si="41">SUM(W61:X61)</f>
        <v>0</v>
      </c>
      <c r="F61" s="34">
        <f t="shared" ref="F61:F74" si="42">SUM(Y61:Z61)</f>
        <v>0</v>
      </c>
      <c r="G61" s="34">
        <f t="shared" ref="G61:G74" si="43">SUM(AA61:AB61)</f>
        <v>0</v>
      </c>
      <c r="H61" s="34">
        <f t="shared" ref="H61:H74" si="44">SUM(AC61:AD61)</f>
        <v>0</v>
      </c>
      <c r="I61" s="34">
        <f t="shared" ref="I61:I74" si="45">SUM(AE61:AF61)</f>
        <v>0</v>
      </c>
      <c r="J61" s="34">
        <f t="shared" ref="J61:J74" si="46">SUM(AG61:AH61)</f>
        <v>0</v>
      </c>
      <c r="K61" s="34">
        <f t="shared" ref="K61:K74" si="47">SUM(AI61:AJ61)</f>
        <v>0</v>
      </c>
      <c r="L61" s="34">
        <f>SUM(AK61:AL61)</f>
        <v>0</v>
      </c>
      <c r="M61" s="34">
        <f t="shared" si="10"/>
        <v>0</v>
      </c>
      <c r="N61" s="34">
        <f t="shared" si="10"/>
        <v>0</v>
      </c>
      <c r="O61" s="34">
        <f>0</f>
        <v>0</v>
      </c>
      <c r="Q61" s="34">
        <v>13487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/>
      <c r="AP61" s="34">
        <f t="shared" si="11"/>
        <v>0</v>
      </c>
      <c r="AQ61" s="34">
        <f>0</f>
        <v>0</v>
      </c>
      <c r="AR61" s="34">
        <f t="shared" si="12"/>
        <v>0</v>
      </c>
      <c r="AS61" s="34">
        <f>0</f>
        <v>0</v>
      </c>
    </row>
    <row r="62" spans="1:45" x14ac:dyDescent="0.2">
      <c r="A62" s="6" t="s">
        <v>264</v>
      </c>
      <c r="B62" s="34">
        <f t="shared" si="38"/>
        <v>0</v>
      </c>
      <c r="C62" s="34">
        <f t="shared" si="39"/>
        <v>0</v>
      </c>
      <c r="D62" s="34">
        <f t="shared" si="40"/>
        <v>0</v>
      </c>
      <c r="E62" s="34">
        <f t="shared" si="41"/>
        <v>0</v>
      </c>
      <c r="F62" s="34">
        <f t="shared" si="42"/>
        <v>0</v>
      </c>
      <c r="G62" s="34">
        <f t="shared" si="43"/>
        <v>0</v>
      </c>
      <c r="H62" s="34">
        <f t="shared" si="44"/>
        <v>0</v>
      </c>
      <c r="I62" s="34">
        <f t="shared" si="45"/>
        <v>0</v>
      </c>
      <c r="J62" s="34">
        <f t="shared" si="46"/>
        <v>0</v>
      </c>
      <c r="K62" s="34">
        <f t="shared" si="47"/>
        <v>0</v>
      </c>
      <c r="L62" s="34">
        <f t="shared" ref="L62:L70" si="48">SUM(AK62:AL62)</f>
        <v>10881</v>
      </c>
      <c r="M62" s="34">
        <f t="shared" si="10"/>
        <v>0</v>
      </c>
      <c r="N62" s="34">
        <f t="shared" si="10"/>
        <v>0</v>
      </c>
      <c r="O62" s="34">
        <f>0</f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0</v>
      </c>
      <c r="AK62" s="34">
        <v>11003</v>
      </c>
      <c r="AL62" s="34">
        <v>-122</v>
      </c>
      <c r="AM62" s="34">
        <v>0</v>
      </c>
      <c r="AN62" s="34">
        <v>0</v>
      </c>
      <c r="AO62" s="34"/>
      <c r="AP62" s="34">
        <f t="shared" si="11"/>
        <v>0</v>
      </c>
      <c r="AQ62" s="34">
        <f>0</f>
        <v>0</v>
      </c>
      <c r="AR62" s="34">
        <f t="shared" si="12"/>
        <v>0</v>
      </c>
      <c r="AS62" s="34">
        <f>0</f>
        <v>0</v>
      </c>
    </row>
    <row r="63" spans="1:45" x14ac:dyDescent="0.2">
      <c r="A63" s="6" t="s">
        <v>265</v>
      </c>
      <c r="B63" s="34">
        <f t="shared" si="38"/>
        <v>6353</v>
      </c>
      <c r="C63" s="34">
        <f t="shared" si="39"/>
        <v>12140</v>
      </c>
      <c r="D63" s="34">
        <f t="shared" si="40"/>
        <v>5937</v>
      </c>
      <c r="E63" s="34">
        <f t="shared" si="41"/>
        <v>10763</v>
      </c>
      <c r="F63" s="34">
        <f t="shared" si="42"/>
        <v>9480</v>
      </c>
      <c r="G63" s="34">
        <f t="shared" si="43"/>
        <v>9016</v>
      </c>
      <c r="H63" s="34">
        <f t="shared" si="44"/>
        <v>15889</v>
      </c>
      <c r="I63" s="34">
        <f t="shared" si="45"/>
        <v>4707</v>
      </c>
      <c r="J63" s="34">
        <f t="shared" si="46"/>
        <v>30332</v>
      </c>
      <c r="K63" s="34">
        <f t="shared" si="47"/>
        <v>8691</v>
      </c>
      <c r="L63" s="34">
        <f t="shared" si="48"/>
        <v>49071</v>
      </c>
      <c r="M63" s="34">
        <f t="shared" si="10"/>
        <v>43008</v>
      </c>
      <c r="N63" s="34">
        <v>73292</v>
      </c>
      <c r="O63" s="34">
        <f>120278</f>
        <v>120278</v>
      </c>
      <c r="Q63" s="34">
        <v>2280</v>
      </c>
      <c r="R63" s="34">
        <v>4073</v>
      </c>
      <c r="S63" s="34">
        <v>2769</v>
      </c>
      <c r="T63" s="34">
        <v>9371</v>
      </c>
      <c r="U63" s="34">
        <v>2785</v>
      </c>
      <c r="V63" s="34">
        <v>3152</v>
      </c>
      <c r="W63" s="34">
        <v>5627</v>
      </c>
      <c r="X63" s="34">
        <v>5136</v>
      </c>
      <c r="Y63" s="34">
        <v>4707</v>
      </c>
      <c r="Z63" s="34">
        <v>4773</v>
      </c>
      <c r="AA63" s="34">
        <v>5882</v>
      </c>
      <c r="AB63" s="34">
        <v>3134</v>
      </c>
      <c r="AC63" s="34">
        <v>4671</v>
      </c>
      <c r="AD63" s="34">
        <v>11218</v>
      </c>
      <c r="AE63" s="34">
        <v>3609</v>
      </c>
      <c r="AF63" s="34">
        <v>1098</v>
      </c>
      <c r="AG63" s="34">
        <v>15719</v>
      </c>
      <c r="AH63" s="34">
        <v>14613</v>
      </c>
      <c r="AI63" s="34">
        <v>1367</v>
      </c>
      <c r="AJ63" s="34">
        <v>7324</v>
      </c>
      <c r="AK63" s="34">
        <v>17855</v>
      </c>
      <c r="AL63" s="34">
        <v>31216</v>
      </c>
      <c r="AM63" s="34">
        <v>22739</v>
      </c>
      <c r="AN63" s="34">
        <v>20269</v>
      </c>
      <c r="AO63" s="34">
        <v>35652</v>
      </c>
      <c r="AP63" s="34">
        <f t="shared" si="11"/>
        <v>37640</v>
      </c>
      <c r="AQ63" s="34">
        <f>51071</f>
        <v>51071</v>
      </c>
      <c r="AR63" s="34">
        <f t="shared" si="12"/>
        <v>69207</v>
      </c>
      <c r="AS63" s="34">
        <f>51677</f>
        <v>51677</v>
      </c>
    </row>
    <row r="64" spans="1:45" x14ac:dyDescent="0.2">
      <c r="A64" s="6" t="s">
        <v>266</v>
      </c>
      <c r="B64" s="34">
        <f t="shared" si="38"/>
        <v>-4821</v>
      </c>
      <c r="C64" s="34">
        <f t="shared" si="39"/>
        <v>-5552</v>
      </c>
      <c r="D64" s="34">
        <f t="shared" si="40"/>
        <v>-9668</v>
      </c>
      <c r="E64" s="34">
        <f t="shared" si="41"/>
        <v>-8498</v>
      </c>
      <c r="F64" s="34">
        <f t="shared" si="42"/>
        <v>-6281</v>
      </c>
      <c r="G64" s="34">
        <f t="shared" si="43"/>
        <v>-10404</v>
      </c>
      <c r="H64" s="34">
        <f t="shared" si="44"/>
        <v>-10009</v>
      </c>
      <c r="I64" s="34">
        <f t="shared" si="45"/>
        <v>-7719</v>
      </c>
      <c r="J64" s="34">
        <f t="shared" si="46"/>
        <v>-4432</v>
      </c>
      <c r="K64" s="34">
        <f t="shared" si="47"/>
        <v>-10108</v>
      </c>
      <c r="L64" s="34">
        <f t="shared" si="48"/>
        <v>-14635</v>
      </c>
      <c r="M64" s="34">
        <f t="shared" si="10"/>
        <v>-11166</v>
      </c>
      <c r="N64" s="34">
        <v>-29150</v>
      </c>
      <c r="O64" s="34">
        <f>-29746</f>
        <v>-29746</v>
      </c>
      <c r="Q64" s="34">
        <v>-777</v>
      </c>
      <c r="R64" s="34">
        <v>-4044</v>
      </c>
      <c r="S64" s="34">
        <v>-2450</v>
      </c>
      <c r="T64" s="34">
        <v>-3102</v>
      </c>
      <c r="U64" s="34">
        <v>-6624</v>
      </c>
      <c r="V64" s="34">
        <v>-3044</v>
      </c>
      <c r="W64" s="34">
        <v>-4278</v>
      </c>
      <c r="X64" s="34">
        <v>-4220</v>
      </c>
      <c r="Y64" s="34">
        <v>-2323</v>
      </c>
      <c r="Z64" s="34">
        <v>-3958</v>
      </c>
      <c r="AA64" s="34">
        <v>-3635</v>
      </c>
      <c r="AB64" s="34">
        <v>-6769</v>
      </c>
      <c r="AC64" s="34">
        <v>-3678</v>
      </c>
      <c r="AD64" s="34">
        <v>-6331</v>
      </c>
      <c r="AE64" s="34">
        <v>-4716</v>
      </c>
      <c r="AF64" s="34">
        <v>-3003</v>
      </c>
      <c r="AG64" s="34">
        <v>-2126</v>
      </c>
      <c r="AH64" s="34">
        <v>-2306</v>
      </c>
      <c r="AI64" s="34">
        <v>-4958</v>
      </c>
      <c r="AJ64" s="34">
        <v>-5150</v>
      </c>
      <c r="AK64" s="34">
        <v>-7361</v>
      </c>
      <c r="AL64" s="34">
        <v>-7274</v>
      </c>
      <c r="AM64" s="34">
        <v>-6493</v>
      </c>
      <c r="AN64" s="34">
        <v>-4673</v>
      </c>
      <c r="AO64" s="34">
        <v>-13683</v>
      </c>
      <c r="AP64" s="34">
        <f t="shared" si="11"/>
        <v>-15467</v>
      </c>
      <c r="AQ64" s="34">
        <f>-11014</f>
        <v>-11014</v>
      </c>
      <c r="AR64" s="34">
        <f t="shared" si="12"/>
        <v>-18732</v>
      </c>
      <c r="AS64" s="34">
        <f>-14598</f>
        <v>-14598</v>
      </c>
    </row>
    <row r="65" spans="1:45" x14ac:dyDescent="0.2">
      <c r="A65" s="6" t="s">
        <v>267</v>
      </c>
      <c r="B65" s="34">
        <f t="shared" si="38"/>
        <v>-3</v>
      </c>
      <c r="C65" s="34">
        <f t="shared" si="39"/>
        <v>-3</v>
      </c>
      <c r="D65" s="34">
        <f t="shared" si="40"/>
        <v>-10</v>
      </c>
      <c r="E65" s="34">
        <f t="shared" si="41"/>
        <v>-83</v>
      </c>
      <c r="F65" s="34">
        <f t="shared" si="42"/>
        <v>-20</v>
      </c>
      <c r="G65" s="34">
        <f t="shared" si="43"/>
        <v>-94</v>
      </c>
      <c r="H65" s="34">
        <f t="shared" si="44"/>
        <v>-29</v>
      </c>
      <c r="I65" s="34">
        <f t="shared" si="45"/>
        <v>0</v>
      </c>
      <c r="J65" s="34">
        <f t="shared" si="46"/>
        <v>-14600</v>
      </c>
      <c r="K65" s="34">
        <f t="shared" si="47"/>
        <v>0</v>
      </c>
      <c r="L65" s="34">
        <f t="shared" si="48"/>
        <v>0</v>
      </c>
      <c r="M65" s="34">
        <f t="shared" si="10"/>
        <v>0</v>
      </c>
      <c r="N65" s="34">
        <f t="shared" si="10"/>
        <v>0</v>
      </c>
      <c r="O65" s="34">
        <f t="shared" si="10"/>
        <v>0</v>
      </c>
      <c r="Q65" s="34">
        <v>0</v>
      </c>
      <c r="R65" s="34">
        <v>-3</v>
      </c>
      <c r="S65" s="34">
        <v>0</v>
      </c>
      <c r="T65" s="34">
        <v>-3</v>
      </c>
      <c r="U65" s="34">
        <v>0</v>
      </c>
      <c r="V65" s="34">
        <v>-10</v>
      </c>
      <c r="W65" s="34">
        <v>0</v>
      </c>
      <c r="X65" s="34">
        <v>-83</v>
      </c>
      <c r="Y65" s="34">
        <v>-66</v>
      </c>
      <c r="Z65" s="34">
        <v>46</v>
      </c>
      <c r="AA65" s="34">
        <v>-38</v>
      </c>
      <c r="AB65" s="34">
        <v>-56</v>
      </c>
      <c r="AC65" s="34">
        <v>-30</v>
      </c>
      <c r="AD65" s="34">
        <v>1</v>
      </c>
      <c r="AE65" s="34">
        <v>0</v>
      </c>
      <c r="AF65" s="34">
        <v>0</v>
      </c>
      <c r="AG65" s="34">
        <v>0</v>
      </c>
      <c r="AH65" s="34">
        <v>-14600</v>
      </c>
      <c r="AI65" s="34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f t="shared" si="11"/>
        <v>0</v>
      </c>
      <c r="AQ65" s="34">
        <f>0</f>
        <v>0</v>
      </c>
      <c r="AR65" s="34">
        <f t="shared" si="12"/>
        <v>0</v>
      </c>
      <c r="AS65" s="34">
        <f>0</f>
        <v>0</v>
      </c>
    </row>
    <row r="66" spans="1:45" x14ac:dyDescent="0.2">
      <c r="A66" s="6" t="s">
        <v>268</v>
      </c>
      <c r="B66" s="34">
        <f t="shared" si="38"/>
        <v>24</v>
      </c>
      <c r="C66" s="34">
        <f t="shared" si="39"/>
        <v>0</v>
      </c>
      <c r="D66" s="34">
        <f t="shared" si="40"/>
        <v>0</v>
      </c>
      <c r="E66" s="34">
        <f t="shared" si="41"/>
        <v>0</v>
      </c>
      <c r="F66" s="34">
        <f t="shared" si="42"/>
        <v>0</v>
      </c>
      <c r="G66" s="34">
        <f t="shared" si="43"/>
        <v>0</v>
      </c>
      <c r="H66" s="34">
        <f t="shared" si="44"/>
        <v>0</v>
      </c>
      <c r="I66" s="34">
        <f t="shared" si="45"/>
        <v>0</v>
      </c>
      <c r="J66" s="34">
        <f t="shared" si="46"/>
        <v>0</v>
      </c>
      <c r="K66" s="34">
        <f t="shared" si="47"/>
        <v>0</v>
      </c>
      <c r="L66" s="34">
        <f t="shared" si="48"/>
        <v>0</v>
      </c>
      <c r="M66" s="34">
        <f t="shared" si="10"/>
        <v>0</v>
      </c>
      <c r="N66" s="34">
        <f t="shared" si="10"/>
        <v>0</v>
      </c>
      <c r="O66" s="34">
        <f t="shared" si="10"/>
        <v>0</v>
      </c>
      <c r="Q66" s="34">
        <v>24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f t="shared" si="11"/>
        <v>0</v>
      </c>
      <c r="AQ66" s="34">
        <f>0</f>
        <v>0</v>
      </c>
      <c r="AR66" s="34">
        <f t="shared" si="12"/>
        <v>0</v>
      </c>
      <c r="AS66" s="34">
        <f>0</f>
        <v>0</v>
      </c>
    </row>
    <row r="67" spans="1:45" x14ac:dyDescent="0.2">
      <c r="A67" s="6" t="s">
        <v>269</v>
      </c>
      <c r="B67" s="34">
        <f t="shared" si="38"/>
        <v>-459</v>
      </c>
      <c r="C67" s="34">
        <f t="shared" si="39"/>
        <v>-13</v>
      </c>
      <c r="D67" s="34">
        <f t="shared" si="40"/>
        <v>0</v>
      </c>
      <c r="E67" s="34">
        <f t="shared" si="41"/>
        <v>16</v>
      </c>
      <c r="F67" s="34">
        <f t="shared" si="42"/>
        <v>16</v>
      </c>
      <c r="G67" s="34">
        <f t="shared" si="43"/>
        <v>0</v>
      </c>
      <c r="H67" s="34">
        <f t="shared" si="44"/>
        <v>-628</v>
      </c>
      <c r="I67" s="34">
        <f t="shared" si="45"/>
        <v>-651</v>
      </c>
      <c r="J67" s="34">
        <f t="shared" si="46"/>
        <v>0</v>
      </c>
      <c r="K67" s="34">
        <f t="shared" si="47"/>
        <v>0</v>
      </c>
      <c r="L67" s="34">
        <f t="shared" si="48"/>
        <v>0</v>
      </c>
      <c r="M67" s="34">
        <f t="shared" si="10"/>
        <v>0</v>
      </c>
      <c r="N67" s="34">
        <f t="shared" si="10"/>
        <v>0</v>
      </c>
      <c r="O67" s="34">
        <f t="shared" si="10"/>
        <v>0</v>
      </c>
      <c r="Q67" s="34">
        <v>0</v>
      </c>
      <c r="R67" s="34">
        <v>-459</v>
      </c>
      <c r="S67" s="34">
        <v>-13</v>
      </c>
      <c r="T67" s="34">
        <v>0</v>
      </c>
      <c r="U67" s="34">
        <v>0</v>
      </c>
      <c r="V67" s="34">
        <v>0</v>
      </c>
      <c r="W67" s="34">
        <v>16</v>
      </c>
      <c r="X67" s="34">
        <v>0</v>
      </c>
      <c r="Y67" s="34">
        <v>0</v>
      </c>
      <c r="Z67" s="34">
        <v>16</v>
      </c>
      <c r="AA67" s="34">
        <v>0</v>
      </c>
      <c r="AB67" s="34">
        <v>0</v>
      </c>
      <c r="AC67" s="34">
        <v>0</v>
      </c>
      <c r="AD67" s="34">
        <v>-628</v>
      </c>
      <c r="AE67" s="34">
        <v>-651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f t="shared" si="11"/>
        <v>0</v>
      </c>
      <c r="AQ67" s="34">
        <f>0</f>
        <v>0</v>
      </c>
      <c r="AR67" s="34">
        <f t="shared" si="12"/>
        <v>0</v>
      </c>
      <c r="AS67" s="34">
        <f>0</f>
        <v>0</v>
      </c>
    </row>
    <row r="68" spans="1:45" x14ac:dyDescent="0.2">
      <c r="A68" s="6" t="s">
        <v>270</v>
      </c>
      <c r="B68" s="34">
        <f t="shared" si="38"/>
        <v>0</v>
      </c>
      <c r="C68" s="34">
        <f t="shared" si="39"/>
        <v>0</v>
      </c>
      <c r="D68" s="34">
        <f t="shared" si="40"/>
        <v>0</v>
      </c>
      <c r="E68" s="34">
        <f t="shared" si="41"/>
        <v>0</v>
      </c>
      <c r="F68" s="34">
        <f t="shared" si="42"/>
        <v>0</v>
      </c>
      <c r="G68" s="34">
        <f t="shared" si="43"/>
        <v>0</v>
      </c>
      <c r="H68" s="34">
        <f t="shared" si="44"/>
        <v>0</v>
      </c>
      <c r="I68" s="34">
        <f t="shared" si="45"/>
        <v>0</v>
      </c>
      <c r="J68" s="34">
        <f t="shared" si="46"/>
        <v>-939</v>
      </c>
      <c r="K68" s="34">
        <f t="shared" si="47"/>
        <v>-645</v>
      </c>
      <c r="L68" s="34">
        <f t="shared" si="48"/>
        <v>-1775</v>
      </c>
      <c r="M68" s="34">
        <f t="shared" si="10"/>
        <v>-2144</v>
      </c>
      <c r="N68" s="34">
        <v>-2966</v>
      </c>
      <c r="O68" s="34">
        <f>-1763</f>
        <v>-1763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-363</v>
      </c>
      <c r="AH68" s="34">
        <v>-576</v>
      </c>
      <c r="AI68" s="34">
        <v>-52</v>
      </c>
      <c r="AJ68" s="34">
        <v>-593</v>
      </c>
      <c r="AK68" s="34">
        <v>-707</v>
      </c>
      <c r="AL68" s="34">
        <v>-1068</v>
      </c>
      <c r="AM68" s="34">
        <v>-590</v>
      </c>
      <c r="AN68" s="34">
        <v>-1554</v>
      </c>
      <c r="AO68" s="34">
        <v>-1168</v>
      </c>
      <c r="AP68" s="34">
        <f t="shared" si="11"/>
        <v>-1798</v>
      </c>
      <c r="AQ68" s="34">
        <f>-426</f>
        <v>-426</v>
      </c>
      <c r="AR68" s="34">
        <f t="shared" si="12"/>
        <v>-1337</v>
      </c>
      <c r="AS68" s="34">
        <f>-223</f>
        <v>-223</v>
      </c>
    </row>
    <row r="69" spans="1:45" x14ac:dyDescent="0.2">
      <c r="A69" s="6" t="s">
        <v>271</v>
      </c>
      <c r="B69" s="34">
        <f t="shared" si="38"/>
        <v>0</v>
      </c>
      <c r="C69" s="34">
        <f t="shared" si="39"/>
        <v>0</v>
      </c>
      <c r="D69" s="34">
        <f t="shared" si="40"/>
        <v>0</v>
      </c>
      <c r="E69" s="34">
        <f t="shared" si="41"/>
        <v>-1124</v>
      </c>
      <c r="F69" s="34">
        <f t="shared" si="42"/>
        <v>-2452</v>
      </c>
      <c r="G69" s="34">
        <f t="shared" si="43"/>
        <v>-1504</v>
      </c>
      <c r="H69" s="34">
        <f t="shared" si="44"/>
        <v>-2542</v>
      </c>
      <c r="I69" s="34">
        <f t="shared" si="45"/>
        <v>-3567</v>
      </c>
      <c r="J69" s="34">
        <f t="shared" si="46"/>
        <v>-3599</v>
      </c>
      <c r="K69" s="34">
        <f t="shared" si="47"/>
        <v>-3527</v>
      </c>
      <c r="L69" s="34">
        <f t="shared" si="48"/>
        <v>-3613</v>
      </c>
      <c r="M69" s="34">
        <f t="shared" si="10"/>
        <v>0</v>
      </c>
      <c r="N69" s="34">
        <f t="shared" si="10"/>
        <v>0</v>
      </c>
      <c r="O69" s="34">
        <f t="shared" si="10"/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-1124</v>
      </c>
      <c r="Y69" s="34">
        <v>-1834</v>
      </c>
      <c r="Z69" s="34">
        <v>-618</v>
      </c>
      <c r="AA69" s="34">
        <v>-961</v>
      </c>
      <c r="AB69" s="34">
        <v>-543</v>
      </c>
      <c r="AC69" s="34">
        <v>0</v>
      </c>
      <c r="AD69" s="34">
        <v>-2542</v>
      </c>
      <c r="AE69" s="34">
        <v>0</v>
      </c>
      <c r="AF69" s="34">
        <v>-3567</v>
      </c>
      <c r="AG69" s="34">
        <v>-13</v>
      </c>
      <c r="AH69" s="34">
        <v>-3586</v>
      </c>
      <c r="AI69" s="34">
        <v>0</v>
      </c>
      <c r="AJ69" s="34">
        <v>-3527</v>
      </c>
      <c r="AK69" s="34">
        <v>0</v>
      </c>
      <c r="AL69" s="34">
        <v>-3613</v>
      </c>
      <c r="AM69" s="34">
        <v>0</v>
      </c>
      <c r="AN69" s="34">
        <v>0</v>
      </c>
      <c r="AO69" s="34">
        <v>0</v>
      </c>
      <c r="AP69" s="34">
        <f t="shared" si="11"/>
        <v>0</v>
      </c>
      <c r="AQ69" s="34">
        <f>0</f>
        <v>0</v>
      </c>
      <c r="AR69" s="34">
        <f t="shared" si="12"/>
        <v>0</v>
      </c>
      <c r="AS69" s="34">
        <f>0</f>
        <v>0</v>
      </c>
    </row>
    <row r="70" spans="1:45" x14ac:dyDescent="0.2">
      <c r="A70" s="51" t="s">
        <v>272</v>
      </c>
      <c r="B70" s="79">
        <f t="shared" si="38"/>
        <v>14581</v>
      </c>
      <c r="C70" s="79">
        <f t="shared" si="39"/>
        <v>6572</v>
      </c>
      <c r="D70" s="79">
        <f t="shared" si="40"/>
        <v>-3741</v>
      </c>
      <c r="E70" s="79">
        <f t="shared" si="41"/>
        <v>1074</v>
      </c>
      <c r="F70" s="79">
        <f t="shared" si="42"/>
        <v>743</v>
      </c>
      <c r="G70" s="79">
        <f t="shared" si="43"/>
        <v>-2986</v>
      </c>
      <c r="H70" s="79">
        <f t="shared" si="44"/>
        <v>2681</v>
      </c>
      <c r="I70" s="79">
        <f t="shared" si="45"/>
        <v>-7230</v>
      </c>
      <c r="J70" s="79">
        <f t="shared" si="46"/>
        <v>6762</v>
      </c>
      <c r="K70" s="79">
        <f t="shared" si="47"/>
        <v>-5589</v>
      </c>
      <c r="L70" s="79">
        <f t="shared" si="48"/>
        <v>39929</v>
      </c>
      <c r="M70" s="79">
        <v>29698</v>
      </c>
      <c r="N70" s="79">
        <f>SUM(N61:N69)</f>
        <v>41176</v>
      </c>
      <c r="O70" s="79">
        <f>SUM(O61:O69)</f>
        <v>88769</v>
      </c>
      <c r="P70" s="32"/>
      <c r="Q70" s="79">
        <v>15014</v>
      </c>
      <c r="R70" s="79">
        <v>-433</v>
      </c>
      <c r="S70" s="79">
        <v>306</v>
      </c>
      <c r="T70" s="79">
        <v>6266</v>
      </c>
      <c r="U70" s="79">
        <v>-3839</v>
      </c>
      <c r="V70" s="79">
        <v>98</v>
      </c>
      <c r="W70" s="79">
        <v>1365</v>
      </c>
      <c r="X70" s="79">
        <v>-291</v>
      </c>
      <c r="Y70" s="79">
        <v>484</v>
      </c>
      <c r="Z70" s="79">
        <v>259</v>
      </c>
      <c r="AA70" s="79">
        <v>1248</v>
      </c>
      <c r="AB70" s="79">
        <v>-4234</v>
      </c>
      <c r="AC70" s="79">
        <v>963</v>
      </c>
      <c r="AD70" s="79">
        <v>1718</v>
      </c>
      <c r="AE70" s="79">
        <v>-1758</v>
      </c>
      <c r="AF70" s="79">
        <v>-5472</v>
      </c>
      <c r="AG70" s="79">
        <v>13217</v>
      </c>
      <c r="AH70" s="79">
        <v>-6455</v>
      </c>
      <c r="AI70" s="79">
        <v>-3643</v>
      </c>
      <c r="AJ70" s="79">
        <v>-1946</v>
      </c>
      <c r="AK70" s="80">
        <v>20790</v>
      </c>
      <c r="AL70" s="80">
        <v>19139</v>
      </c>
      <c r="AM70" s="80">
        <f>SUM(AM61:AM69)</f>
        <v>15656</v>
      </c>
      <c r="AN70" s="80">
        <f>SUM(AN61:AN69)</f>
        <v>14042</v>
      </c>
      <c r="AO70" s="80">
        <f>SUM(AO61:AO69)</f>
        <v>20801</v>
      </c>
      <c r="AP70" s="80">
        <f t="shared" si="11"/>
        <v>20375</v>
      </c>
      <c r="AQ70" s="80">
        <f>SUM(AQ61:AQ69)</f>
        <v>39631</v>
      </c>
      <c r="AR70" s="80">
        <f t="shared" si="12"/>
        <v>49138</v>
      </c>
      <c r="AS70" s="80">
        <f>SUM(AS61:AS69)</f>
        <v>36856</v>
      </c>
    </row>
    <row r="71" spans="1:45" x14ac:dyDescent="0.2">
      <c r="B71" s="34"/>
      <c r="C71" s="34"/>
      <c r="D71" s="34"/>
      <c r="E71" s="34"/>
      <c r="F71" s="34"/>
      <c r="G71" s="34"/>
      <c r="H71" s="34"/>
      <c r="I71" s="34"/>
      <c r="J71" s="34"/>
      <c r="K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Q71" s="6"/>
      <c r="AS71" s="6"/>
    </row>
    <row r="72" spans="1:45" x14ac:dyDescent="0.2">
      <c r="A72" s="53" t="s">
        <v>273</v>
      </c>
      <c r="B72" s="78">
        <f t="shared" ref="B72:M72" si="49">B70+B58+B44</f>
        <v>9176</v>
      </c>
      <c r="C72" s="78">
        <f t="shared" si="49"/>
        <v>-3295</v>
      </c>
      <c r="D72" s="78">
        <f t="shared" si="49"/>
        <v>-2966</v>
      </c>
      <c r="E72" s="78">
        <f t="shared" si="49"/>
        <v>4862</v>
      </c>
      <c r="F72" s="78">
        <f t="shared" si="49"/>
        <v>-2842</v>
      </c>
      <c r="G72" s="78">
        <f t="shared" si="49"/>
        <v>-1182</v>
      </c>
      <c r="H72" s="78">
        <f t="shared" si="49"/>
        <v>3997</v>
      </c>
      <c r="I72" s="78">
        <f t="shared" si="49"/>
        <v>8523</v>
      </c>
      <c r="J72" s="78">
        <f t="shared" si="49"/>
        <v>8237</v>
      </c>
      <c r="K72" s="78">
        <f t="shared" si="49"/>
        <v>-5322</v>
      </c>
      <c r="L72" s="78">
        <f t="shared" si="49"/>
        <v>19041</v>
      </c>
      <c r="M72" s="78">
        <f t="shared" si="49"/>
        <v>-20701</v>
      </c>
      <c r="N72" s="78">
        <f>N70+N58+N44</f>
        <v>-14133</v>
      </c>
      <c r="O72" s="78">
        <f>O70+O58+O44</f>
        <v>-5408</v>
      </c>
      <c r="P72" s="40"/>
      <c r="Q72" s="78">
        <v>12714</v>
      </c>
      <c r="R72" s="78">
        <v>-3538</v>
      </c>
      <c r="S72" s="78">
        <v>-1249</v>
      </c>
      <c r="T72" s="78">
        <v>-2046</v>
      </c>
      <c r="U72" s="78">
        <v>-2556</v>
      </c>
      <c r="V72" s="78">
        <v>-410</v>
      </c>
      <c r="W72" s="78">
        <v>1396</v>
      </c>
      <c r="X72" s="78">
        <v>3466</v>
      </c>
      <c r="Y72" s="78">
        <v>-3982</v>
      </c>
      <c r="Z72" s="78">
        <v>1140</v>
      </c>
      <c r="AA72" s="78">
        <v>4348</v>
      </c>
      <c r="AB72" s="78">
        <v>-5530</v>
      </c>
      <c r="AC72" s="78">
        <v>-796</v>
      </c>
      <c r="AD72" s="78">
        <v>4793</v>
      </c>
      <c r="AE72" s="78">
        <v>4500</v>
      </c>
      <c r="AF72" s="78">
        <v>4023</v>
      </c>
      <c r="AG72" s="78">
        <v>12797</v>
      </c>
      <c r="AH72" s="78">
        <v>-4560</v>
      </c>
      <c r="AI72" s="78">
        <v>-6478</v>
      </c>
      <c r="AJ72" s="78">
        <v>1156</v>
      </c>
      <c r="AK72" s="34">
        <v>14450</v>
      </c>
      <c r="AL72" s="34">
        <v>4591</v>
      </c>
      <c r="AM72" s="34">
        <f>AM70+AM58+AM44</f>
        <v>-5221</v>
      </c>
      <c r="AN72" s="34">
        <v>-15480</v>
      </c>
      <c r="AO72" s="34">
        <f>AO70+AO58+AO44</f>
        <v>1548</v>
      </c>
      <c r="AP72" s="34">
        <f>AP70+AP58+AP44</f>
        <v>-15681</v>
      </c>
      <c r="AQ72" s="34">
        <f>AQ70+AQ58+AQ44</f>
        <v>-2721</v>
      </c>
      <c r="AR72" s="34">
        <f t="shared" si="12"/>
        <v>-2687</v>
      </c>
      <c r="AS72" s="34">
        <f t="shared" ref="AS72" si="50">AS70+AS58+AS44</f>
        <v>1331</v>
      </c>
    </row>
    <row r="73" spans="1:45" x14ac:dyDescent="0.2">
      <c r="A73" s="6" t="s">
        <v>274</v>
      </c>
      <c r="B73" s="34">
        <v>3636</v>
      </c>
      <c r="C73" s="34">
        <f t="shared" ref="C73:M73" si="51">B75</f>
        <v>14484</v>
      </c>
      <c r="D73" s="34">
        <f t="shared" si="51"/>
        <v>10716</v>
      </c>
      <c r="E73" s="34">
        <f t="shared" si="51"/>
        <v>8139</v>
      </c>
      <c r="F73" s="34">
        <f t="shared" si="51"/>
        <v>14631</v>
      </c>
      <c r="G73" s="34">
        <f t="shared" si="51"/>
        <v>11532</v>
      </c>
      <c r="H73" s="34">
        <f t="shared" si="51"/>
        <v>10206</v>
      </c>
      <c r="I73" s="34">
        <f t="shared" si="51"/>
        <v>14125</v>
      </c>
      <c r="J73" s="34">
        <f t="shared" si="51"/>
        <v>23066</v>
      </c>
      <c r="K73" s="34">
        <f t="shared" si="51"/>
        <v>31128</v>
      </c>
      <c r="L73" s="34">
        <f t="shared" si="51"/>
        <v>25830</v>
      </c>
      <c r="M73" s="34">
        <f t="shared" si="51"/>
        <v>44587</v>
      </c>
      <c r="N73" s="34">
        <f>M75</f>
        <v>23811</v>
      </c>
      <c r="O73" s="34">
        <f>N75</f>
        <v>9724</v>
      </c>
      <c r="Q73" s="34">
        <v>3636</v>
      </c>
      <c r="R73" s="34">
        <f>Q75</f>
        <v>16146</v>
      </c>
      <c r="S73" s="34">
        <v>14484</v>
      </c>
      <c r="T73" s="34">
        <f>S75</f>
        <v>13276</v>
      </c>
      <c r="U73" s="34">
        <v>10716</v>
      </c>
      <c r="V73" s="34">
        <f>U75</f>
        <v>8559</v>
      </c>
      <c r="W73" s="34">
        <v>8139</v>
      </c>
      <c r="X73" s="34">
        <f>W75</f>
        <v>9635</v>
      </c>
      <c r="Y73" s="34">
        <v>14631</v>
      </c>
      <c r="Z73" s="34">
        <f>Y75</f>
        <v>10042</v>
      </c>
      <c r="AA73" s="34">
        <v>11532</v>
      </c>
      <c r="AB73" s="34">
        <f>AA75</f>
        <v>15770</v>
      </c>
      <c r="AC73" s="34">
        <v>10206</v>
      </c>
      <c r="AD73" s="34">
        <f>AC75</f>
        <v>9392</v>
      </c>
      <c r="AE73" s="34">
        <v>14125</v>
      </c>
      <c r="AF73" s="34">
        <f>AE75</f>
        <v>18865</v>
      </c>
      <c r="AG73" s="34">
        <v>23066</v>
      </c>
      <c r="AH73" s="34">
        <f>AG75</f>
        <v>35797</v>
      </c>
      <c r="AI73" s="34">
        <v>31128</v>
      </c>
      <c r="AJ73" s="34">
        <f>AI75</f>
        <v>24678</v>
      </c>
      <c r="AK73" s="34">
        <v>25830</v>
      </c>
      <c r="AL73" s="34">
        <f>AK75</f>
        <v>39980</v>
      </c>
      <c r="AM73" s="34">
        <v>44587</v>
      </c>
      <c r="AN73" s="34">
        <f>AM75</f>
        <v>39194</v>
      </c>
      <c r="AO73" s="34">
        <v>23811</v>
      </c>
      <c r="AP73" s="34">
        <f>AO75</f>
        <v>25687</v>
      </c>
      <c r="AQ73" s="34">
        <f>9724</f>
        <v>9724</v>
      </c>
      <c r="AR73" s="34">
        <f t="shared" si="12"/>
        <v>0</v>
      </c>
      <c r="AS73" s="34">
        <f>4320</f>
        <v>4320</v>
      </c>
    </row>
    <row r="74" spans="1:45" x14ac:dyDescent="0.2">
      <c r="A74" s="6" t="s">
        <v>275</v>
      </c>
      <c r="B74" s="34">
        <f t="shared" si="38"/>
        <v>1672</v>
      </c>
      <c r="C74" s="34">
        <f t="shared" si="39"/>
        <v>-473</v>
      </c>
      <c r="D74" s="34">
        <f t="shared" si="40"/>
        <v>389</v>
      </c>
      <c r="E74" s="34">
        <f t="shared" si="41"/>
        <v>1630</v>
      </c>
      <c r="F74" s="34">
        <f t="shared" si="42"/>
        <v>-257</v>
      </c>
      <c r="G74" s="34">
        <f t="shared" si="43"/>
        <v>-144</v>
      </c>
      <c r="H74" s="34">
        <f t="shared" si="44"/>
        <v>-78</v>
      </c>
      <c r="I74" s="34">
        <f t="shared" si="45"/>
        <v>418</v>
      </c>
      <c r="J74" s="34">
        <f t="shared" si="46"/>
        <v>-175</v>
      </c>
      <c r="K74" s="34">
        <f t="shared" si="47"/>
        <v>24</v>
      </c>
      <c r="L74" s="34">
        <f t="shared" ref="L74" si="52">SUM(AK74:AL74)</f>
        <v>-284</v>
      </c>
      <c r="M74" s="34">
        <f t="shared" si="10"/>
        <v>-75</v>
      </c>
      <c r="N74" s="34">
        <v>46</v>
      </c>
      <c r="O74" s="34">
        <f>4</f>
        <v>4</v>
      </c>
      <c r="Q74" s="34">
        <v>-204</v>
      </c>
      <c r="R74" s="34">
        <v>1876</v>
      </c>
      <c r="S74" s="34">
        <v>41</v>
      </c>
      <c r="T74" s="34">
        <v>-514</v>
      </c>
      <c r="U74" s="34">
        <v>399</v>
      </c>
      <c r="V74" s="34">
        <v>-10</v>
      </c>
      <c r="W74" s="34">
        <v>100</v>
      </c>
      <c r="X74" s="34">
        <v>1530</v>
      </c>
      <c r="Y74" s="34">
        <v>-607</v>
      </c>
      <c r="Z74" s="34">
        <v>350</v>
      </c>
      <c r="AA74" s="34">
        <v>-110</v>
      </c>
      <c r="AB74" s="34">
        <v>-34</v>
      </c>
      <c r="AC74" s="34">
        <v>-18</v>
      </c>
      <c r="AD74" s="34">
        <v>-60</v>
      </c>
      <c r="AE74" s="34">
        <v>240</v>
      </c>
      <c r="AF74" s="34">
        <v>178</v>
      </c>
      <c r="AG74" s="34">
        <v>-66</v>
      </c>
      <c r="AH74" s="34">
        <v>-109</v>
      </c>
      <c r="AI74" s="34">
        <v>28</v>
      </c>
      <c r="AJ74" s="34">
        <v>-4</v>
      </c>
      <c r="AK74" s="34">
        <v>-300</v>
      </c>
      <c r="AL74" s="34">
        <v>16</v>
      </c>
      <c r="AM74" s="34">
        <v>-172</v>
      </c>
      <c r="AN74" s="34">
        <v>97</v>
      </c>
      <c r="AO74" s="34">
        <v>328</v>
      </c>
      <c r="AP74" s="34">
        <f>N74-AO74</f>
        <v>-282</v>
      </c>
      <c r="AQ74" s="34">
        <f>-4</f>
        <v>-4</v>
      </c>
      <c r="AR74" s="34">
        <f t="shared" si="12"/>
        <v>8</v>
      </c>
      <c r="AS74" s="34">
        <f>-7</f>
        <v>-7</v>
      </c>
    </row>
    <row r="75" spans="1:45" x14ac:dyDescent="0.2">
      <c r="A75" s="51" t="s">
        <v>276</v>
      </c>
      <c r="B75" s="79">
        <v>14484</v>
      </c>
      <c r="C75" s="79">
        <v>10716</v>
      </c>
      <c r="D75" s="79">
        <v>8139</v>
      </c>
      <c r="E75" s="79">
        <v>14631</v>
      </c>
      <c r="F75" s="79">
        <v>11532</v>
      </c>
      <c r="G75" s="79">
        <v>10206</v>
      </c>
      <c r="H75" s="79">
        <v>14125</v>
      </c>
      <c r="I75" s="79">
        <v>23066</v>
      </c>
      <c r="J75" s="79">
        <v>31128</v>
      </c>
      <c r="K75" s="79">
        <v>25830</v>
      </c>
      <c r="L75" s="79">
        <v>44587</v>
      </c>
      <c r="M75" s="79">
        <v>23811</v>
      </c>
      <c r="N75" s="79">
        <v>9724</v>
      </c>
      <c r="O75" s="79">
        <f>4320</f>
        <v>4320</v>
      </c>
      <c r="P75" s="32"/>
      <c r="Q75" s="79">
        <v>16146</v>
      </c>
      <c r="R75" s="79">
        <f>S73</f>
        <v>14484</v>
      </c>
      <c r="S75" s="79">
        <v>13276</v>
      </c>
      <c r="T75" s="79">
        <f>U73</f>
        <v>10716</v>
      </c>
      <c r="U75" s="79">
        <v>8559</v>
      </c>
      <c r="V75" s="79">
        <f>W73</f>
        <v>8139</v>
      </c>
      <c r="W75" s="79">
        <v>9635</v>
      </c>
      <c r="X75" s="79">
        <f>Y73</f>
        <v>14631</v>
      </c>
      <c r="Y75" s="79">
        <v>10042</v>
      </c>
      <c r="Z75" s="79">
        <f>AA73</f>
        <v>11532</v>
      </c>
      <c r="AA75" s="79">
        <v>15770</v>
      </c>
      <c r="AB75" s="79">
        <f>AC73</f>
        <v>10206</v>
      </c>
      <c r="AC75" s="79">
        <v>9392</v>
      </c>
      <c r="AD75" s="79">
        <f>AE73</f>
        <v>14125</v>
      </c>
      <c r="AE75" s="79">
        <v>18865</v>
      </c>
      <c r="AF75" s="79">
        <f>AG73</f>
        <v>23066</v>
      </c>
      <c r="AG75" s="79">
        <v>35797</v>
      </c>
      <c r="AH75" s="79">
        <f>AI73</f>
        <v>31128</v>
      </c>
      <c r="AI75" s="79">
        <v>24678</v>
      </c>
      <c r="AJ75" s="79">
        <f>AK73</f>
        <v>25830</v>
      </c>
      <c r="AK75" s="80">
        <v>39980</v>
      </c>
      <c r="AL75" s="80">
        <f>AM73</f>
        <v>44587</v>
      </c>
      <c r="AM75" s="80">
        <v>39194</v>
      </c>
      <c r="AN75" s="80">
        <f>M75</f>
        <v>23811</v>
      </c>
      <c r="AO75" s="80">
        <v>25687</v>
      </c>
      <c r="AP75" s="80">
        <f>N75</f>
        <v>9724</v>
      </c>
      <c r="AQ75" s="80">
        <f>SUM(AQ72:AQ74)</f>
        <v>6999</v>
      </c>
      <c r="AR75" s="80">
        <f t="shared" ref="AR75" si="53">O75-AQ75</f>
        <v>-2679</v>
      </c>
      <c r="AS75" s="80">
        <f>SUM(AS72:AS74)</f>
        <v>5644</v>
      </c>
    </row>
  </sheetData>
  <phoneticPr fontId="33" type="noConversion"/>
  <hyperlinks>
    <hyperlink ref="A3" location="Contents!A1" display="Back to Contents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337F2-7D14-47A8-937C-7079592E43A3}">
  <dimension ref="A1:CN98"/>
  <sheetViews>
    <sheetView topLeftCell="A89" zoomScale="130" zoomScaleNormal="130" workbookViewId="0">
      <selection activeCell="A99" sqref="A99:XFD1048576"/>
    </sheetView>
  </sheetViews>
  <sheetFormatPr defaultRowHeight="15" outlineLevelRow="1" x14ac:dyDescent="0.25"/>
  <cols>
    <col min="1" max="1" width="2.7109375" style="115" customWidth="1"/>
    <col min="2" max="2" width="29.5703125" customWidth="1"/>
    <col min="3" max="3" width="13.140625" customWidth="1"/>
    <col min="4" max="4" width="14.42578125" customWidth="1"/>
    <col min="5" max="5" width="12.85546875" customWidth="1"/>
    <col min="6" max="6" width="11.7109375" customWidth="1"/>
    <col min="7" max="7" width="11.140625" customWidth="1"/>
    <col min="8" max="8" width="12.5703125" customWidth="1"/>
    <col min="9" max="11" width="12" customWidth="1"/>
    <col min="12" max="14" width="10.85546875" customWidth="1"/>
    <col min="15" max="15" width="11.5703125" customWidth="1"/>
    <col min="16" max="18" width="10.85546875" customWidth="1"/>
    <col min="19" max="19" width="12.5703125" customWidth="1"/>
    <col min="20" max="20" width="12.42578125" customWidth="1"/>
    <col min="21" max="21" width="14.5703125" customWidth="1"/>
    <col min="22" max="22" width="11.42578125" customWidth="1"/>
    <col min="23" max="23" width="13.85546875" customWidth="1"/>
    <col min="24" max="26" width="11.7109375" customWidth="1"/>
    <col min="27" max="27" width="9" customWidth="1"/>
    <col min="28" max="28" width="11.28515625" customWidth="1"/>
    <col min="29" max="29" width="12" customWidth="1"/>
    <col min="30" max="31" width="11.28515625" customWidth="1"/>
    <col min="32" max="32" width="20.7109375" style="207" customWidth="1"/>
    <col min="33" max="34" width="10.5703125" style="207" customWidth="1"/>
    <col min="35" max="35" width="16.7109375" style="207" customWidth="1"/>
    <col min="36" max="36" width="14.140625" style="207" customWidth="1"/>
    <col min="37" max="37" width="16.7109375" style="207" customWidth="1"/>
    <col min="38" max="38" width="14.85546875" style="207" customWidth="1"/>
    <col min="39" max="40" width="9.140625" style="181"/>
  </cols>
  <sheetData>
    <row r="1" spans="1:92" s="115" customFormat="1" ht="30" customHeight="1" x14ac:dyDescent="0.25">
      <c r="A1" s="218" t="s">
        <v>313</v>
      </c>
      <c r="B1" s="218" t="s">
        <v>314</v>
      </c>
      <c r="C1" s="218" t="s">
        <v>315</v>
      </c>
      <c r="D1" s="213" t="s">
        <v>316</v>
      </c>
      <c r="E1" s="218" t="s">
        <v>317</v>
      </c>
      <c r="F1" s="218" t="s">
        <v>318</v>
      </c>
      <c r="G1" s="218" t="s">
        <v>319</v>
      </c>
      <c r="H1" s="220" t="s">
        <v>320</v>
      </c>
      <c r="I1" s="221"/>
      <c r="J1" s="221"/>
      <c r="K1" s="221"/>
      <c r="L1" s="222"/>
      <c r="M1" s="220" t="s">
        <v>321</v>
      </c>
      <c r="N1" s="221"/>
      <c r="O1" s="221"/>
      <c r="P1" s="221"/>
      <c r="Q1" s="221"/>
      <c r="R1" s="222"/>
      <c r="S1" s="213" t="s">
        <v>322</v>
      </c>
      <c r="T1" s="213" t="s">
        <v>437</v>
      </c>
      <c r="U1" s="213" t="s">
        <v>323</v>
      </c>
      <c r="V1" s="213" t="s">
        <v>324</v>
      </c>
      <c r="W1" s="213" t="s">
        <v>438</v>
      </c>
      <c r="X1" s="213" t="s">
        <v>439</v>
      </c>
      <c r="Y1" s="213" t="s">
        <v>440</v>
      </c>
      <c r="Z1" s="213" t="s">
        <v>441</v>
      </c>
      <c r="AA1" s="213" t="s">
        <v>325</v>
      </c>
      <c r="AB1" s="210" t="s">
        <v>326</v>
      </c>
      <c r="AC1" s="211"/>
      <c r="AD1" s="212"/>
      <c r="AE1" s="213" t="s">
        <v>327</v>
      </c>
      <c r="AF1" s="213" t="s">
        <v>328</v>
      </c>
      <c r="AG1" s="215" t="s">
        <v>329</v>
      </c>
      <c r="AH1" s="216"/>
      <c r="AI1" s="216"/>
      <c r="AJ1" s="216"/>
      <c r="AK1" s="216"/>
      <c r="AL1" s="217"/>
      <c r="AM1" s="173"/>
      <c r="AN1" s="173"/>
    </row>
    <row r="2" spans="1:92" s="115" customFormat="1" ht="52.5" customHeight="1" x14ac:dyDescent="0.25">
      <c r="A2" s="219"/>
      <c r="B2" s="219"/>
      <c r="C2" s="219"/>
      <c r="D2" s="214"/>
      <c r="E2" s="219"/>
      <c r="F2" s="219"/>
      <c r="G2" s="219"/>
      <c r="H2" s="116" t="s">
        <v>330</v>
      </c>
      <c r="I2" s="116" t="s">
        <v>108</v>
      </c>
      <c r="J2" s="116" t="s">
        <v>109</v>
      </c>
      <c r="K2" s="116" t="s">
        <v>331</v>
      </c>
      <c r="L2" s="116" t="s">
        <v>332</v>
      </c>
      <c r="M2" s="116" t="s">
        <v>330</v>
      </c>
      <c r="N2" s="116" t="s">
        <v>108</v>
      </c>
      <c r="O2" s="116" t="s">
        <v>109</v>
      </c>
      <c r="P2" s="116" t="s">
        <v>331</v>
      </c>
      <c r="Q2" s="116" t="s">
        <v>332</v>
      </c>
      <c r="R2" s="116" t="s">
        <v>333</v>
      </c>
      <c r="S2" s="214"/>
      <c r="T2" s="214"/>
      <c r="U2" s="214"/>
      <c r="V2" s="214"/>
      <c r="W2" s="214"/>
      <c r="X2" s="214"/>
      <c r="Y2" s="214"/>
      <c r="Z2" s="214"/>
      <c r="AA2" s="214"/>
      <c r="AB2" s="117" t="s">
        <v>108</v>
      </c>
      <c r="AC2" s="117" t="s">
        <v>109</v>
      </c>
      <c r="AD2" s="117" t="s">
        <v>110</v>
      </c>
      <c r="AE2" s="214"/>
      <c r="AF2" s="214"/>
      <c r="AG2" s="118" t="s">
        <v>334</v>
      </c>
      <c r="AH2" s="118" t="s">
        <v>442</v>
      </c>
      <c r="AI2" s="116" t="s">
        <v>335</v>
      </c>
      <c r="AJ2" s="116" t="s">
        <v>336</v>
      </c>
      <c r="AK2" s="116" t="s">
        <v>337</v>
      </c>
      <c r="AL2" s="116" t="s">
        <v>338</v>
      </c>
      <c r="AM2" s="173"/>
      <c r="AN2" s="173"/>
    </row>
    <row r="3" spans="1:92" s="115" customFormat="1" ht="10.5" x14ac:dyDescent="0.25">
      <c r="A3" s="172"/>
      <c r="B3" s="119" t="s">
        <v>443</v>
      </c>
      <c r="C3" s="172"/>
      <c r="D3" s="171"/>
      <c r="E3" s="172"/>
      <c r="F3" s="172"/>
      <c r="G3" s="172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71"/>
      <c r="T3" s="171"/>
      <c r="U3" s="171"/>
      <c r="V3" s="171"/>
      <c r="W3" s="171"/>
      <c r="X3" s="171"/>
      <c r="Y3" s="171"/>
      <c r="Z3" s="171"/>
      <c r="AA3" s="171"/>
      <c r="AB3" s="120"/>
      <c r="AC3" s="120"/>
      <c r="AD3" s="120"/>
      <c r="AE3" s="171"/>
      <c r="AF3" s="171"/>
      <c r="AG3" s="171"/>
      <c r="AH3" s="171"/>
      <c r="AI3" s="121"/>
      <c r="AJ3" s="121"/>
      <c r="AK3" s="121"/>
      <c r="AL3" s="121"/>
      <c r="AM3" s="173"/>
      <c r="AN3" s="173"/>
    </row>
    <row r="4" spans="1:92" s="132" customFormat="1" ht="10.5" x14ac:dyDescent="0.25">
      <c r="A4" s="122">
        <v>1</v>
      </c>
      <c r="B4" s="123" t="s">
        <v>105</v>
      </c>
      <c r="C4" s="122" t="s">
        <v>92</v>
      </c>
      <c r="D4" s="124">
        <v>99877</v>
      </c>
      <c r="E4" s="125" t="s">
        <v>339</v>
      </c>
      <c r="F4" s="126">
        <v>108.8</v>
      </c>
      <c r="G4" s="124">
        <v>1198971.7070000002</v>
      </c>
      <c r="H4" s="124">
        <v>1094988.8470000001</v>
      </c>
      <c r="I4" s="124">
        <v>845719.15500000003</v>
      </c>
      <c r="J4" s="124">
        <v>132737.99200000003</v>
      </c>
      <c r="K4" s="124">
        <v>0</v>
      </c>
      <c r="L4" s="124">
        <v>8370</v>
      </c>
      <c r="M4" s="124">
        <v>868130.04700000002</v>
      </c>
      <c r="N4" s="124">
        <v>609950.35499999998</v>
      </c>
      <c r="O4" s="124">
        <v>118235.39200000002</v>
      </c>
      <c r="P4" s="124">
        <v>0</v>
      </c>
      <c r="Q4" s="124">
        <v>7361</v>
      </c>
      <c r="R4" s="124">
        <v>139944.30000000002</v>
      </c>
      <c r="S4" s="124">
        <v>265452.91686743923</v>
      </c>
      <c r="T4" s="124">
        <v>53457.564573311334</v>
      </c>
      <c r="U4" s="124">
        <v>211995.35229412789</v>
      </c>
      <c r="V4" s="124">
        <v>495553.82432331494</v>
      </c>
      <c r="W4" s="124">
        <v>24549.819043990003</v>
      </c>
      <c r="X4" s="124">
        <v>415686.41168521496</v>
      </c>
      <c r="Y4" s="124">
        <v>55317.593594110003</v>
      </c>
      <c r="Z4" s="124">
        <v>55668.381058669998</v>
      </c>
      <c r="AA4" s="127">
        <v>0.21199999999999999</v>
      </c>
      <c r="AB4" s="128">
        <v>460000</v>
      </c>
      <c r="AC4" s="128">
        <v>460000</v>
      </c>
      <c r="AD4" s="128">
        <v>2900000</v>
      </c>
      <c r="AE4" s="125" t="s">
        <v>340</v>
      </c>
      <c r="AF4" s="129" t="s">
        <v>444</v>
      </c>
      <c r="AG4" s="130">
        <v>95410.070244935283</v>
      </c>
      <c r="AH4" s="130">
        <v>48791.743293857508</v>
      </c>
      <c r="AI4" s="130">
        <v>46618.326951077775</v>
      </c>
      <c r="AJ4" s="130">
        <v>42522.900826678728</v>
      </c>
      <c r="AK4" s="130">
        <v>23519.205946186263</v>
      </c>
      <c r="AL4" s="130">
        <v>21147.560663622899</v>
      </c>
      <c r="AM4" s="174"/>
      <c r="AN4" s="174"/>
    </row>
    <row r="5" spans="1:92" s="132" customFormat="1" ht="21" x14ac:dyDescent="0.25">
      <c r="A5" s="122">
        <v>2</v>
      </c>
      <c r="B5" s="123" t="s">
        <v>341</v>
      </c>
      <c r="C5" s="122" t="s">
        <v>92</v>
      </c>
      <c r="D5" s="124">
        <v>20274</v>
      </c>
      <c r="E5" s="125" t="s">
        <v>339</v>
      </c>
      <c r="F5" s="126">
        <v>31.6</v>
      </c>
      <c r="G5" s="124">
        <v>254729.62</v>
      </c>
      <c r="H5" s="124">
        <v>254729.62</v>
      </c>
      <c r="I5" s="124">
        <v>184952.6</v>
      </c>
      <c r="J5" s="124">
        <v>51106.92</v>
      </c>
      <c r="K5" s="124">
        <v>0</v>
      </c>
      <c r="L5" s="124">
        <v>1420</v>
      </c>
      <c r="M5" s="124">
        <v>133624.91999999998</v>
      </c>
      <c r="N5" s="124">
        <v>72537.099999999991</v>
      </c>
      <c r="O5" s="124">
        <v>43122.720000000001</v>
      </c>
      <c r="P5" s="124">
        <v>0</v>
      </c>
      <c r="Q5" s="124">
        <v>762</v>
      </c>
      <c r="R5" s="124">
        <v>17965.099999999999</v>
      </c>
      <c r="S5" s="124">
        <v>48564.809231308172</v>
      </c>
      <c r="T5" s="124">
        <v>21256.147331929737</v>
      </c>
      <c r="U5" s="124">
        <v>27308.661899378436</v>
      </c>
      <c r="V5" s="124">
        <v>64877.091715632727</v>
      </c>
      <c r="W5" s="124">
        <v>11953.749965869998</v>
      </c>
      <c r="X5" s="124">
        <v>47247.352795442734</v>
      </c>
      <c r="Y5" s="124">
        <v>5675.9889543199997</v>
      </c>
      <c r="Z5" s="124">
        <v>7765.2114612300002</v>
      </c>
      <c r="AA5" s="127">
        <v>0.21199999999999999</v>
      </c>
      <c r="AB5" s="128">
        <v>453000</v>
      </c>
      <c r="AC5" s="128">
        <v>234000</v>
      </c>
      <c r="AD5" s="128">
        <v>2900000</v>
      </c>
      <c r="AE5" s="125" t="s">
        <v>340</v>
      </c>
      <c r="AF5" s="129" t="s">
        <v>445</v>
      </c>
      <c r="AG5" s="130">
        <v>14058.164935366127</v>
      </c>
      <c r="AH5" s="130">
        <v>8584.9848921637076</v>
      </c>
      <c r="AI5" s="130">
        <v>5473.1800432024193</v>
      </c>
      <c r="AJ5" s="130">
        <v>5148.2739673405395</v>
      </c>
      <c r="AK5" s="130">
        <v>3811.6732353555226</v>
      </c>
      <c r="AL5" s="130">
        <v>3559.5073598647286</v>
      </c>
      <c r="AM5" s="174"/>
      <c r="AN5" s="174"/>
    </row>
    <row r="6" spans="1:92" s="132" customFormat="1" ht="10.5" x14ac:dyDescent="0.25">
      <c r="A6" s="122">
        <v>3</v>
      </c>
      <c r="B6" s="123" t="s">
        <v>301</v>
      </c>
      <c r="C6" s="122" t="s">
        <v>92</v>
      </c>
      <c r="D6" s="124">
        <v>10409</v>
      </c>
      <c r="E6" s="125" t="s">
        <v>339</v>
      </c>
      <c r="F6" s="126">
        <v>2.7</v>
      </c>
      <c r="G6" s="124">
        <v>65405.299999999996</v>
      </c>
      <c r="H6" s="124">
        <v>65405.299999999996</v>
      </c>
      <c r="I6" s="124">
        <v>53904.6</v>
      </c>
      <c r="J6" s="124">
        <v>3307.5</v>
      </c>
      <c r="K6" s="124">
        <v>0</v>
      </c>
      <c r="L6" s="124">
        <v>567</v>
      </c>
      <c r="M6" s="124">
        <v>31592.799999999999</v>
      </c>
      <c r="N6" s="124">
        <v>18350.7</v>
      </c>
      <c r="O6" s="124">
        <v>1092.0999999999999</v>
      </c>
      <c r="P6" s="124">
        <v>0</v>
      </c>
      <c r="Q6" s="124">
        <v>405</v>
      </c>
      <c r="R6" s="124">
        <v>12150</v>
      </c>
      <c r="S6" s="124">
        <v>15357.053636014187</v>
      </c>
      <c r="T6" s="124">
        <v>7344.0682464945658</v>
      </c>
      <c r="U6" s="124">
        <v>8012.9853895196211</v>
      </c>
      <c r="V6" s="124">
        <v>35113.975524358997</v>
      </c>
      <c r="W6" s="124">
        <v>13301.192977620001</v>
      </c>
      <c r="X6" s="124">
        <v>13256.282546738996</v>
      </c>
      <c r="Y6" s="124">
        <v>8556.5</v>
      </c>
      <c r="Z6" s="124">
        <v>13229.9</v>
      </c>
      <c r="AA6" s="127">
        <v>0.21199999999999999</v>
      </c>
      <c r="AB6" s="128">
        <v>567000</v>
      </c>
      <c r="AC6" s="128">
        <v>557000</v>
      </c>
      <c r="AD6" s="128">
        <v>3500000</v>
      </c>
      <c r="AE6" s="125" t="s">
        <v>340</v>
      </c>
      <c r="AF6" s="122">
        <v>2025</v>
      </c>
      <c r="AG6" s="130">
        <v>5045.8295756458092</v>
      </c>
      <c r="AH6" s="130">
        <v>4748.2392855190283</v>
      </c>
      <c r="AI6" s="130">
        <v>297.59029012678093</v>
      </c>
      <c r="AJ6" s="130">
        <v>0</v>
      </c>
      <c r="AK6" s="130">
        <v>267.09680934974864</v>
      </c>
      <c r="AL6" s="130">
        <v>0</v>
      </c>
      <c r="AM6" s="174"/>
      <c r="AN6" s="174"/>
    </row>
    <row r="7" spans="1:92" s="132" customFormat="1" ht="21" x14ac:dyDescent="0.25">
      <c r="A7" s="122">
        <v>4</v>
      </c>
      <c r="B7" s="123" t="s">
        <v>446</v>
      </c>
      <c r="C7" s="122" t="s">
        <v>92</v>
      </c>
      <c r="D7" s="124">
        <v>3040</v>
      </c>
      <c r="E7" s="125" t="s">
        <v>346</v>
      </c>
      <c r="F7" s="126">
        <v>0.39379999999999998</v>
      </c>
      <c r="G7" s="124">
        <v>11396.800000000001</v>
      </c>
      <c r="H7" s="124">
        <v>11396.800000000001</v>
      </c>
      <c r="I7" s="124">
        <v>9987.5</v>
      </c>
      <c r="J7" s="124">
        <v>558.1</v>
      </c>
      <c r="K7" s="124">
        <v>0</v>
      </c>
      <c r="L7" s="124">
        <v>64</v>
      </c>
      <c r="M7" s="124">
        <v>11289.099999999999</v>
      </c>
      <c r="N7" s="124">
        <v>9879.7999999999975</v>
      </c>
      <c r="O7" s="124">
        <v>558.1</v>
      </c>
      <c r="P7" s="124">
        <v>0</v>
      </c>
      <c r="Q7" s="124">
        <v>64</v>
      </c>
      <c r="R7" s="124">
        <v>851.2</v>
      </c>
      <c r="S7" s="124">
        <v>2863.1148319787562</v>
      </c>
      <c r="T7" s="124">
        <v>281.38898375274312</v>
      </c>
      <c r="U7" s="124">
        <v>2581.7258482260131</v>
      </c>
      <c r="V7" s="124">
        <v>8088.3258448403149</v>
      </c>
      <c r="W7" s="124">
        <v>429.04886999999997</v>
      </c>
      <c r="X7" s="124">
        <v>7659.2769748403152</v>
      </c>
      <c r="Y7" s="124">
        <v>0</v>
      </c>
      <c r="Z7" s="124">
        <v>0</v>
      </c>
      <c r="AA7" s="127">
        <v>0.21199999999999999</v>
      </c>
      <c r="AB7" s="128">
        <v>590000</v>
      </c>
      <c r="AC7" s="128">
        <v>550000</v>
      </c>
      <c r="AD7" s="128">
        <v>3800000</v>
      </c>
      <c r="AE7" s="125" t="s">
        <v>340</v>
      </c>
      <c r="AF7" s="122">
        <v>2027</v>
      </c>
      <c r="AG7" s="130">
        <v>1405.5393754404943</v>
      </c>
      <c r="AH7" s="130">
        <v>279.20916778186984</v>
      </c>
      <c r="AI7" s="130">
        <v>1126.3302076586244</v>
      </c>
      <c r="AJ7" s="130">
        <v>878.99623130822442</v>
      </c>
      <c r="AK7" s="130">
        <v>733.74891204731864</v>
      </c>
      <c r="AL7" s="130">
        <v>603.52192669847375</v>
      </c>
      <c r="AM7" s="174"/>
      <c r="AN7" s="174"/>
    </row>
    <row r="8" spans="1:92" s="132" customFormat="1" ht="10.5" x14ac:dyDescent="0.25">
      <c r="A8" s="122">
        <v>5</v>
      </c>
      <c r="B8" s="123" t="s">
        <v>447</v>
      </c>
      <c r="C8" s="122" t="s">
        <v>92</v>
      </c>
      <c r="D8" s="124">
        <v>1854</v>
      </c>
      <c r="E8" s="125" t="s">
        <v>339</v>
      </c>
      <c r="F8" s="126">
        <v>1.1000000000000001</v>
      </c>
      <c r="G8" s="124">
        <v>14082.900000000001</v>
      </c>
      <c r="H8" s="124">
        <v>14082.900000000001</v>
      </c>
      <c r="I8" s="124">
        <v>11452.7</v>
      </c>
      <c r="J8" s="124">
        <v>1729.2</v>
      </c>
      <c r="K8" s="124">
        <v>0</v>
      </c>
      <c r="L8" s="124">
        <v>68</v>
      </c>
      <c r="M8" s="124">
        <v>14082.900000000001</v>
      </c>
      <c r="N8" s="124">
        <v>11452.7</v>
      </c>
      <c r="O8" s="124">
        <v>1729.2</v>
      </c>
      <c r="P8" s="124">
        <v>0</v>
      </c>
      <c r="Q8" s="124">
        <v>68</v>
      </c>
      <c r="R8" s="124">
        <v>901</v>
      </c>
      <c r="S8" s="124">
        <v>3900.2682906316541</v>
      </c>
      <c r="T8" s="124">
        <v>334.63741781571434</v>
      </c>
      <c r="U8" s="124">
        <v>3565.6308728159397</v>
      </c>
      <c r="V8" s="124">
        <v>7488.4842713714461</v>
      </c>
      <c r="W8" s="124">
        <v>0</v>
      </c>
      <c r="X8" s="124">
        <v>7488.4842713714461</v>
      </c>
      <c r="Y8" s="124">
        <v>0</v>
      </c>
      <c r="Z8" s="124">
        <v>0</v>
      </c>
      <c r="AA8" s="127">
        <v>0.21199999999999999</v>
      </c>
      <c r="AB8" s="128">
        <v>460000</v>
      </c>
      <c r="AC8" s="128">
        <v>490000</v>
      </c>
      <c r="AD8" s="128">
        <v>3400000</v>
      </c>
      <c r="AE8" s="125" t="s">
        <v>340</v>
      </c>
      <c r="AF8" s="122">
        <v>2028</v>
      </c>
      <c r="AG8" s="130">
        <v>1000.6332764304609</v>
      </c>
      <c r="AH8" s="130">
        <v>219.48327631515696</v>
      </c>
      <c r="AI8" s="130">
        <v>781.15000011530401</v>
      </c>
      <c r="AJ8" s="130">
        <v>726.25505014220391</v>
      </c>
      <c r="AK8" s="130">
        <v>534.82777165916843</v>
      </c>
      <c r="AL8" s="130">
        <v>497.37037539288281</v>
      </c>
      <c r="AM8" s="174"/>
      <c r="AN8" s="174"/>
    </row>
    <row r="9" spans="1:92" s="132" customFormat="1" ht="10.5" x14ac:dyDescent="0.25">
      <c r="A9" s="122">
        <v>6</v>
      </c>
      <c r="B9" s="123" t="s">
        <v>408</v>
      </c>
      <c r="C9" s="122" t="s">
        <v>92</v>
      </c>
      <c r="D9" s="124">
        <v>1733</v>
      </c>
      <c r="E9" s="125" t="s">
        <v>342</v>
      </c>
      <c r="F9" s="126">
        <v>7.96</v>
      </c>
      <c r="G9" s="124">
        <v>169088.87000000002</v>
      </c>
      <c r="H9" s="124">
        <v>157602.02000000002</v>
      </c>
      <c r="I9" s="124">
        <v>136657.1</v>
      </c>
      <c r="J9" s="124">
        <v>9061.92</v>
      </c>
      <c r="K9" s="124">
        <v>0</v>
      </c>
      <c r="L9" s="124">
        <v>853</v>
      </c>
      <c r="M9" s="124">
        <v>22042.3</v>
      </c>
      <c r="N9" s="124">
        <v>18470</v>
      </c>
      <c r="O9" s="124">
        <v>2822.3</v>
      </c>
      <c r="P9" s="124">
        <v>0</v>
      </c>
      <c r="Q9" s="124">
        <v>50</v>
      </c>
      <c r="R9" s="124">
        <v>750</v>
      </c>
      <c r="S9" s="124">
        <v>21856.895327625425</v>
      </c>
      <c r="T9" s="124">
        <v>14728.684673777938</v>
      </c>
      <c r="U9" s="124">
        <v>7128.2106538474882</v>
      </c>
      <c r="V9" s="124">
        <v>9931.5482089840771</v>
      </c>
      <c r="W9" s="124">
        <v>320.86956741000006</v>
      </c>
      <c r="X9" s="124">
        <v>9610.6786415740771</v>
      </c>
      <c r="Y9" s="124">
        <v>0</v>
      </c>
      <c r="Z9" s="124">
        <v>0</v>
      </c>
      <c r="AA9" s="127">
        <v>0.21199999999999999</v>
      </c>
      <c r="AB9" s="128">
        <v>450000</v>
      </c>
      <c r="AC9" s="128">
        <v>290000</v>
      </c>
      <c r="AD9" s="128">
        <v>2900000</v>
      </c>
      <c r="AE9" s="125" t="s">
        <v>340</v>
      </c>
      <c r="AF9" s="122">
        <v>2027</v>
      </c>
      <c r="AG9" s="130">
        <v>1799.5213623706754</v>
      </c>
      <c r="AH9" s="130">
        <v>1799.5213623706754</v>
      </c>
      <c r="AI9" s="130">
        <v>0</v>
      </c>
      <c r="AJ9" s="130">
        <v>0</v>
      </c>
      <c r="AK9" s="130">
        <v>0</v>
      </c>
      <c r="AL9" s="130">
        <v>0</v>
      </c>
      <c r="AM9" s="174"/>
      <c r="AN9" s="174"/>
    </row>
    <row r="10" spans="1:92" s="132" customFormat="1" ht="10.5" x14ac:dyDescent="0.25">
      <c r="A10" s="122">
        <v>7</v>
      </c>
      <c r="B10" s="123" t="s">
        <v>104</v>
      </c>
      <c r="C10" s="122" t="s">
        <v>92</v>
      </c>
      <c r="D10" s="124">
        <v>3387</v>
      </c>
      <c r="E10" s="125" t="s">
        <v>339</v>
      </c>
      <c r="F10" s="126">
        <v>0.4</v>
      </c>
      <c r="G10" s="124">
        <v>10809.02</v>
      </c>
      <c r="H10" s="124">
        <v>10809.02</v>
      </c>
      <c r="I10" s="124">
        <v>8265</v>
      </c>
      <c r="J10" s="124">
        <v>1331</v>
      </c>
      <c r="K10" s="124">
        <v>0</v>
      </c>
      <c r="L10" s="124">
        <v>69</v>
      </c>
      <c r="M10" s="124">
        <v>10809.02</v>
      </c>
      <c r="N10" s="124">
        <v>8265</v>
      </c>
      <c r="O10" s="124">
        <v>1331</v>
      </c>
      <c r="P10" s="124">
        <v>0</v>
      </c>
      <c r="Q10" s="124">
        <v>69</v>
      </c>
      <c r="R10" s="124">
        <v>1213.02</v>
      </c>
      <c r="S10" s="124">
        <v>4876.6918742241396</v>
      </c>
      <c r="T10" s="124">
        <v>161.41450999999961</v>
      </c>
      <c r="U10" s="124">
        <v>4715.27736422414</v>
      </c>
      <c r="V10" s="124">
        <v>14207.64508730106</v>
      </c>
      <c r="W10" s="124">
        <v>0</v>
      </c>
      <c r="X10" s="124">
        <v>14207.64508730106</v>
      </c>
      <c r="Y10" s="124">
        <v>0</v>
      </c>
      <c r="Z10" s="124">
        <v>0</v>
      </c>
      <c r="AA10" s="127">
        <v>0.23799999999999999</v>
      </c>
      <c r="AB10" s="128">
        <v>1200000</v>
      </c>
      <c r="AC10" s="128">
        <v>600000</v>
      </c>
      <c r="AD10" s="128">
        <v>4900000</v>
      </c>
      <c r="AE10" s="125" t="s">
        <v>347</v>
      </c>
      <c r="AF10" s="122">
        <v>2029</v>
      </c>
      <c r="AG10" s="130">
        <v>2198.3951614970988</v>
      </c>
      <c r="AH10" s="130">
        <v>705.31367140999998</v>
      </c>
      <c r="AI10" s="130">
        <v>1493.0814900870987</v>
      </c>
      <c r="AJ10" s="130">
        <v>1454.3941067438361</v>
      </c>
      <c r="AK10" s="130">
        <v>859.61806411555278</v>
      </c>
      <c r="AL10" s="130">
        <v>839.85328030530877</v>
      </c>
      <c r="AM10" s="174"/>
      <c r="AN10" s="174"/>
    </row>
    <row r="11" spans="1:92" s="132" customFormat="1" ht="10.5" x14ac:dyDescent="0.25">
      <c r="A11" s="133"/>
      <c r="B11" s="134" t="s">
        <v>448</v>
      </c>
      <c r="C11" s="133"/>
      <c r="D11" s="135">
        <v>140574</v>
      </c>
      <c r="E11" s="133"/>
      <c r="F11" s="133"/>
      <c r="G11" s="135">
        <v>1724484.2170000002</v>
      </c>
      <c r="H11" s="135">
        <v>1609014.5070000002</v>
      </c>
      <c r="I11" s="135">
        <v>1250938.655</v>
      </c>
      <c r="J11" s="135">
        <v>199832.63200000004</v>
      </c>
      <c r="K11" s="135">
        <v>0</v>
      </c>
      <c r="L11" s="135">
        <v>11411</v>
      </c>
      <c r="M11" s="135">
        <v>1091571.0870000001</v>
      </c>
      <c r="N11" s="135">
        <v>748905.65499999991</v>
      </c>
      <c r="O11" s="135">
        <v>168890.81200000003</v>
      </c>
      <c r="P11" s="135">
        <v>0</v>
      </c>
      <c r="Q11" s="135">
        <v>8779</v>
      </c>
      <c r="R11" s="135">
        <v>173774.62000000002</v>
      </c>
      <c r="S11" s="135">
        <v>362871.75005922152</v>
      </c>
      <c r="T11" s="135">
        <v>97563.905737082037</v>
      </c>
      <c r="U11" s="135">
        <v>265307.84432213957</v>
      </c>
      <c r="V11" s="135">
        <v>635260.89497580356</v>
      </c>
      <c r="W11" s="135">
        <v>50554.680424890001</v>
      </c>
      <c r="X11" s="135">
        <v>515156.13200248353</v>
      </c>
      <c r="Y11" s="135">
        <v>69550.08254843</v>
      </c>
      <c r="Z11" s="135">
        <v>76663.492519899999</v>
      </c>
      <c r="AA11" s="136"/>
      <c r="AB11" s="135"/>
      <c r="AC11" s="135"/>
      <c r="AD11" s="135"/>
      <c r="AE11" s="136"/>
      <c r="AF11" s="136"/>
      <c r="AG11" s="137">
        <v>120918.15393168597</v>
      </c>
      <c r="AH11" s="137">
        <v>65128.494949417938</v>
      </c>
      <c r="AI11" s="137">
        <v>55789.658982268003</v>
      </c>
      <c r="AJ11" s="137">
        <v>50730.820182213523</v>
      </c>
      <c r="AK11" s="137">
        <v>29726.170738713576</v>
      </c>
      <c r="AL11" s="137">
        <v>26647.813605884294</v>
      </c>
      <c r="AM11" s="174"/>
      <c r="AN11" s="174"/>
    </row>
    <row r="12" spans="1:92" s="181" customFormat="1" ht="10.5" customHeight="1" x14ac:dyDescent="0.25">
      <c r="A12" s="172"/>
      <c r="B12" s="119" t="s">
        <v>449</v>
      </c>
      <c r="C12" s="172"/>
      <c r="D12" s="171"/>
      <c r="E12" s="172"/>
      <c r="F12" s="172"/>
      <c r="G12" s="17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71"/>
      <c r="T12" s="171"/>
      <c r="U12" s="171"/>
      <c r="V12" s="171"/>
      <c r="W12" s="171"/>
      <c r="X12" s="171"/>
      <c r="Y12" s="171"/>
      <c r="Z12" s="171"/>
      <c r="AA12" s="171"/>
      <c r="AB12" s="120"/>
      <c r="AC12" s="120"/>
      <c r="AD12" s="120"/>
      <c r="AE12" s="171"/>
      <c r="AF12" s="171"/>
      <c r="AG12" s="171"/>
      <c r="AH12" s="171"/>
      <c r="AI12" s="121"/>
      <c r="AJ12" s="121"/>
      <c r="AK12" s="121"/>
      <c r="AL12" s="121"/>
      <c r="AM12" s="175"/>
      <c r="AN12" s="176"/>
      <c r="AO12" s="176"/>
      <c r="AP12" s="176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5"/>
      <c r="BC12" s="175"/>
      <c r="BD12" s="175"/>
      <c r="BE12" s="175"/>
      <c r="BF12" s="175"/>
      <c r="BG12" s="175"/>
      <c r="BH12" s="175"/>
      <c r="BI12" s="175"/>
      <c r="BJ12" s="175"/>
      <c r="BK12" s="178"/>
      <c r="BL12" s="178"/>
      <c r="BM12" s="178"/>
      <c r="BN12" s="175"/>
      <c r="BO12" s="179"/>
      <c r="BP12" s="179"/>
      <c r="BQ12" s="179"/>
      <c r="BR12" s="175"/>
      <c r="BS12" s="175"/>
      <c r="BT12" s="175"/>
      <c r="BU12" s="180"/>
      <c r="BV12" s="180"/>
      <c r="BW12" s="180"/>
      <c r="BX12" s="180"/>
      <c r="BY12" s="175"/>
      <c r="BZ12" s="176"/>
      <c r="CA12" s="176"/>
      <c r="CB12" s="176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5"/>
    </row>
    <row r="13" spans="1:92" s="181" customFormat="1" ht="21" x14ac:dyDescent="0.25">
      <c r="A13" s="122">
        <v>8</v>
      </c>
      <c r="B13" s="123" t="s">
        <v>409</v>
      </c>
      <c r="C13" s="122" t="s">
        <v>349</v>
      </c>
      <c r="D13" s="124">
        <v>15831</v>
      </c>
      <c r="E13" s="125" t="s">
        <v>342</v>
      </c>
      <c r="F13" s="126">
        <v>4.0484999999999998</v>
      </c>
      <c r="G13" s="124">
        <v>63326.9</v>
      </c>
      <c r="H13" s="124">
        <v>55037.2</v>
      </c>
      <c r="I13" s="124">
        <v>45206.5</v>
      </c>
      <c r="J13" s="124">
        <v>2780.7</v>
      </c>
      <c r="K13" s="124">
        <v>0</v>
      </c>
      <c r="L13" s="124">
        <v>470</v>
      </c>
      <c r="M13" s="124">
        <v>50566.200000000004</v>
      </c>
      <c r="N13" s="124">
        <v>41197.800000000003</v>
      </c>
      <c r="O13" s="124">
        <v>2573.3999999999996</v>
      </c>
      <c r="P13" s="124">
        <v>0</v>
      </c>
      <c r="Q13" s="124">
        <v>453</v>
      </c>
      <c r="R13" s="124">
        <v>6795</v>
      </c>
      <c r="S13" s="124">
        <v>14671.388466252733</v>
      </c>
      <c r="T13" s="124">
        <v>1590.307176863822</v>
      </c>
      <c r="U13" s="124">
        <v>13081.081289388911</v>
      </c>
      <c r="V13" s="124">
        <v>52047.917948621245</v>
      </c>
      <c r="W13" s="124">
        <v>2977.1886285300002</v>
      </c>
      <c r="X13" s="124">
        <v>48594.280774621198</v>
      </c>
      <c r="Y13" s="124">
        <v>476.44854547000006</v>
      </c>
      <c r="Z13" s="124">
        <v>1103.1118299899999</v>
      </c>
      <c r="AA13" s="127">
        <v>0.21199999999999999</v>
      </c>
      <c r="AB13" s="128">
        <v>807000</v>
      </c>
      <c r="AC13" s="128">
        <v>557000</v>
      </c>
      <c r="AD13" s="128">
        <v>7250000</v>
      </c>
      <c r="AE13" s="125" t="s">
        <v>340</v>
      </c>
      <c r="AF13" s="122">
        <v>2027</v>
      </c>
      <c r="AG13" s="130">
        <v>5349.5515054200005</v>
      </c>
      <c r="AH13" s="130">
        <v>4665.7515054200003</v>
      </c>
      <c r="AI13" s="130">
        <v>683.80000000000018</v>
      </c>
      <c r="AJ13" s="130">
        <v>0</v>
      </c>
      <c r="AK13" s="130">
        <v>524.3787216212877</v>
      </c>
      <c r="AL13" s="130">
        <v>0</v>
      </c>
      <c r="AM13" s="138"/>
      <c r="AN13" s="182"/>
      <c r="AO13" s="183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27"/>
      <c r="BK13" s="184"/>
      <c r="BL13" s="184"/>
      <c r="BM13" s="184"/>
      <c r="BN13" s="182"/>
      <c r="BO13" s="182"/>
      <c r="BP13" s="182"/>
      <c r="BQ13" s="185"/>
      <c r="BR13" s="186"/>
      <c r="BS13" s="187"/>
      <c r="BT13" s="187"/>
      <c r="BU13" s="187"/>
      <c r="BV13" s="187"/>
      <c r="BW13" s="187"/>
      <c r="BX13" s="187"/>
      <c r="BY13" s="138"/>
      <c r="BZ13" s="182"/>
      <c r="CA13" s="183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</row>
    <row r="14" spans="1:92" s="181" customFormat="1" ht="10.5" customHeight="1" x14ac:dyDescent="0.25">
      <c r="A14" s="122">
        <v>9</v>
      </c>
      <c r="B14" s="123" t="s">
        <v>450</v>
      </c>
      <c r="C14" s="122" t="s">
        <v>349</v>
      </c>
      <c r="D14" s="124">
        <v>5594</v>
      </c>
      <c r="E14" s="125" t="s">
        <v>342</v>
      </c>
      <c r="F14" s="126">
        <v>5.3426999999999998</v>
      </c>
      <c r="G14" s="124">
        <v>102041.50000000001</v>
      </c>
      <c r="H14" s="124">
        <v>102041.50000000001</v>
      </c>
      <c r="I14" s="124">
        <v>90147.199999999997</v>
      </c>
      <c r="J14" s="124">
        <v>7574.3</v>
      </c>
      <c r="K14" s="124">
        <v>0</v>
      </c>
      <c r="L14" s="124">
        <v>288</v>
      </c>
      <c r="M14" s="124">
        <v>101967.59999999999</v>
      </c>
      <c r="N14" s="124">
        <v>90073.299999999988</v>
      </c>
      <c r="O14" s="124">
        <v>7574.3</v>
      </c>
      <c r="P14" s="124">
        <v>0</v>
      </c>
      <c r="Q14" s="124">
        <v>288</v>
      </c>
      <c r="R14" s="124">
        <v>4320</v>
      </c>
      <c r="S14" s="124">
        <v>14098.348120195553</v>
      </c>
      <c r="T14" s="124">
        <v>3428.0493660922384</v>
      </c>
      <c r="U14" s="124">
        <v>10670.298754103314</v>
      </c>
      <c r="V14" s="124">
        <v>29670.629662105865</v>
      </c>
      <c r="W14" s="124">
        <v>11.596339</v>
      </c>
      <c r="X14" s="124">
        <v>29659.033323105865</v>
      </c>
      <c r="Y14" s="124">
        <v>0</v>
      </c>
      <c r="Z14" s="124">
        <v>0</v>
      </c>
      <c r="AA14" s="127">
        <v>0.21199999999999999</v>
      </c>
      <c r="AB14" s="128">
        <v>220000</v>
      </c>
      <c r="AC14" s="128">
        <v>215000</v>
      </c>
      <c r="AD14" s="128">
        <v>600000</v>
      </c>
      <c r="AE14" s="125" t="s">
        <v>340</v>
      </c>
      <c r="AF14" s="122">
        <v>2028</v>
      </c>
      <c r="AG14" s="130">
        <v>1828.6131814999999</v>
      </c>
      <c r="AH14" s="130">
        <v>1826.6046406999999</v>
      </c>
      <c r="AI14" s="130">
        <v>2.0085407999999916</v>
      </c>
      <c r="AJ14" s="130">
        <v>0</v>
      </c>
      <c r="AK14" s="130">
        <v>1.4526108858787632</v>
      </c>
      <c r="AL14" s="130">
        <v>0</v>
      </c>
      <c r="AM14" s="138"/>
      <c r="AN14" s="182"/>
      <c r="AO14" s="183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27"/>
      <c r="BK14" s="184"/>
      <c r="BL14" s="184"/>
      <c r="BM14" s="184"/>
      <c r="BN14" s="182"/>
      <c r="BO14" s="182"/>
      <c r="BP14" s="182"/>
      <c r="BQ14" s="185"/>
      <c r="BR14" s="186"/>
      <c r="BS14" s="187"/>
      <c r="BT14" s="187"/>
      <c r="BU14" s="187"/>
      <c r="BV14" s="187"/>
      <c r="BW14" s="187"/>
      <c r="BX14" s="187"/>
      <c r="BY14" s="138"/>
      <c r="BZ14" s="182"/>
      <c r="CA14" s="183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</row>
    <row r="15" spans="1:92" s="181" customFormat="1" ht="10.5" customHeight="1" x14ac:dyDescent="0.25">
      <c r="A15" s="122">
        <v>10</v>
      </c>
      <c r="B15" s="123" t="s">
        <v>295</v>
      </c>
      <c r="C15" s="122" t="s">
        <v>349</v>
      </c>
      <c r="D15" s="124">
        <v>2217</v>
      </c>
      <c r="E15" s="125" t="s">
        <v>342</v>
      </c>
      <c r="F15" s="126">
        <v>20.722899999999999</v>
      </c>
      <c r="G15" s="124">
        <v>140600.20000000001</v>
      </c>
      <c r="H15" s="124">
        <v>104849.40000000001</v>
      </c>
      <c r="I15" s="124">
        <v>95369.400000000009</v>
      </c>
      <c r="J15" s="124">
        <v>8600</v>
      </c>
      <c r="K15" s="124">
        <v>0</v>
      </c>
      <c r="L15" s="124">
        <v>634</v>
      </c>
      <c r="M15" s="124">
        <v>113479.40000000001</v>
      </c>
      <c r="N15" s="124">
        <v>95369.400000000009</v>
      </c>
      <c r="O15" s="124">
        <v>8600</v>
      </c>
      <c r="P15" s="124">
        <v>0</v>
      </c>
      <c r="Q15" s="124">
        <v>634</v>
      </c>
      <c r="R15" s="124">
        <v>9510</v>
      </c>
      <c r="S15" s="124">
        <v>16415.168611447258</v>
      </c>
      <c r="T15" s="124">
        <v>361.03824830999838</v>
      </c>
      <c r="U15" s="124">
        <v>16054.130363137259</v>
      </c>
      <c r="V15" s="124">
        <v>31237.908595360328</v>
      </c>
      <c r="W15" s="124">
        <v>0</v>
      </c>
      <c r="X15" s="124">
        <v>31237.908595360328</v>
      </c>
      <c r="Y15" s="124">
        <v>0</v>
      </c>
      <c r="Z15" s="124">
        <v>0</v>
      </c>
      <c r="AA15" s="127">
        <v>0.23799999999999999</v>
      </c>
      <c r="AB15" s="128">
        <v>216000</v>
      </c>
      <c r="AC15" s="128">
        <v>100000</v>
      </c>
      <c r="AD15" s="128">
        <v>470000</v>
      </c>
      <c r="AE15" s="125" t="s">
        <v>347</v>
      </c>
      <c r="AF15" s="122">
        <v>2028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8"/>
      <c r="AN15" s="182"/>
      <c r="AO15" s="183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27"/>
      <c r="BK15" s="184"/>
      <c r="BL15" s="184"/>
      <c r="BM15" s="184"/>
      <c r="BN15" s="182"/>
      <c r="BO15" s="182"/>
      <c r="BP15" s="182"/>
      <c r="BQ15" s="185"/>
      <c r="BR15" s="186"/>
      <c r="BS15" s="187"/>
      <c r="BT15" s="187"/>
      <c r="BU15" s="187"/>
      <c r="BV15" s="187"/>
      <c r="BW15" s="187"/>
      <c r="BX15" s="187"/>
      <c r="BY15" s="138"/>
      <c r="BZ15" s="182"/>
      <c r="CA15" s="183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</row>
    <row r="16" spans="1:92" s="181" customFormat="1" ht="10.5" customHeight="1" x14ac:dyDescent="0.25">
      <c r="A16" s="122">
        <v>11</v>
      </c>
      <c r="B16" s="123" t="s">
        <v>410</v>
      </c>
      <c r="C16" s="122" t="s">
        <v>349</v>
      </c>
      <c r="D16" s="124">
        <v>2536</v>
      </c>
      <c r="E16" s="125" t="s">
        <v>342</v>
      </c>
      <c r="F16" s="126">
        <v>1.8379000000000001</v>
      </c>
      <c r="G16" s="124">
        <v>35849.119999999995</v>
      </c>
      <c r="H16" s="124">
        <v>35849.119999999995</v>
      </c>
      <c r="I16" s="124">
        <v>31611.919999999998</v>
      </c>
      <c r="J16" s="124">
        <v>2865.7</v>
      </c>
      <c r="K16" s="124">
        <v>0</v>
      </c>
      <c r="L16" s="124">
        <v>100</v>
      </c>
      <c r="M16" s="124">
        <v>15242.419999999998</v>
      </c>
      <c r="N16" s="124">
        <v>12148.919999999998</v>
      </c>
      <c r="O16" s="124">
        <v>903.49999999999977</v>
      </c>
      <c r="P16" s="124">
        <v>0</v>
      </c>
      <c r="Q16" s="124">
        <v>73</v>
      </c>
      <c r="R16" s="124">
        <v>2190</v>
      </c>
      <c r="S16" s="124">
        <v>4449.7187428699999</v>
      </c>
      <c r="T16" s="124">
        <v>3249.4556317873266</v>
      </c>
      <c r="U16" s="124">
        <v>1200.263111082673</v>
      </c>
      <c r="V16" s="124">
        <v>8011.9963546631589</v>
      </c>
      <c r="W16" s="124">
        <v>1389.8655671500001</v>
      </c>
      <c r="X16" s="124">
        <v>3503.1666893531587</v>
      </c>
      <c r="Y16" s="124">
        <v>3118.96409816</v>
      </c>
      <c r="Z16" s="124">
        <v>3525.4494141999999</v>
      </c>
      <c r="AA16" s="127">
        <v>0.21199999999999999</v>
      </c>
      <c r="AB16" s="128">
        <v>253000</v>
      </c>
      <c r="AC16" s="128">
        <v>215000</v>
      </c>
      <c r="AD16" s="128">
        <v>600000</v>
      </c>
      <c r="AE16" s="125" t="s">
        <v>340</v>
      </c>
      <c r="AF16" s="122">
        <v>2025</v>
      </c>
      <c r="AG16" s="130">
        <v>595.02550350000001</v>
      </c>
      <c r="AH16" s="130">
        <v>594.81347790000007</v>
      </c>
      <c r="AI16" s="130">
        <v>0.21202559999994719</v>
      </c>
      <c r="AJ16" s="130">
        <v>0</v>
      </c>
      <c r="AK16" s="130">
        <v>0.19259144468830575</v>
      </c>
      <c r="AL16" s="130">
        <v>0</v>
      </c>
      <c r="AM16" s="138"/>
      <c r="AN16" s="182"/>
      <c r="AO16" s="183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27"/>
      <c r="BK16" s="184"/>
      <c r="BL16" s="184"/>
      <c r="BM16" s="184"/>
      <c r="BN16" s="182"/>
      <c r="BO16" s="182"/>
      <c r="BP16" s="182"/>
      <c r="BQ16" s="185"/>
      <c r="BR16" s="186"/>
      <c r="BS16" s="187"/>
      <c r="BT16" s="187"/>
      <c r="BU16" s="187"/>
      <c r="BV16" s="187"/>
      <c r="BW16" s="187"/>
      <c r="BX16" s="187"/>
      <c r="BY16" s="138"/>
      <c r="BZ16" s="182"/>
      <c r="CA16" s="183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</row>
    <row r="17" spans="1:92" s="181" customFormat="1" ht="10.5" customHeight="1" x14ac:dyDescent="0.25">
      <c r="A17" s="122">
        <v>12</v>
      </c>
      <c r="B17" s="123" t="s">
        <v>451</v>
      </c>
      <c r="C17" s="122" t="s">
        <v>349</v>
      </c>
      <c r="D17" s="124">
        <v>1134</v>
      </c>
      <c r="E17" s="125" t="s">
        <v>342</v>
      </c>
      <c r="F17" s="126">
        <v>1.0992999999999999</v>
      </c>
      <c r="G17" s="124">
        <v>31941</v>
      </c>
      <c r="H17" s="124">
        <v>27721.360000000001</v>
      </c>
      <c r="I17" s="124">
        <v>23400</v>
      </c>
      <c r="J17" s="124">
        <v>2746.36</v>
      </c>
      <c r="K17" s="124">
        <v>0</v>
      </c>
      <c r="L17" s="124">
        <v>105</v>
      </c>
      <c r="M17" s="124">
        <v>20460.359999999946</v>
      </c>
      <c r="N17" s="124">
        <v>16138.999999999947</v>
      </c>
      <c r="O17" s="124">
        <v>2746.36</v>
      </c>
      <c r="P17" s="124">
        <v>0</v>
      </c>
      <c r="Q17" s="124">
        <v>105</v>
      </c>
      <c r="R17" s="124">
        <v>1575</v>
      </c>
      <c r="S17" s="124">
        <v>4921.409284681451</v>
      </c>
      <c r="T17" s="124">
        <v>2219.5727133789183</v>
      </c>
      <c r="U17" s="124">
        <v>2701.8365713025328</v>
      </c>
      <c r="V17" s="124">
        <v>7590.5600623619821</v>
      </c>
      <c r="W17" s="124">
        <v>912.23094366999999</v>
      </c>
      <c r="X17" s="124">
        <v>5745.8827126019823</v>
      </c>
      <c r="Y17" s="124">
        <v>932.44640608999998</v>
      </c>
      <c r="Z17" s="124">
        <v>2499.9159594400003</v>
      </c>
      <c r="AA17" s="127">
        <v>0.21199999999999999</v>
      </c>
      <c r="AB17" s="128">
        <v>270000</v>
      </c>
      <c r="AC17" s="128">
        <v>210000</v>
      </c>
      <c r="AD17" s="128">
        <v>1000000</v>
      </c>
      <c r="AE17" s="125" t="s">
        <v>340</v>
      </c>
      <c r="AF17" s="122">
        <v>2026</v>
      </c>
      <c r="AG17" s="130">
        <v>2002.8558843819999</v>
      </c>
      <c r="AH17" s="130">
        <v>1582.8558843819999</v>
      </c>
      <c r="AI17" s="130">
        <v>420</v>
      </c>
      <c r="AJ17" s="130">
        <v>0</v>
      </c>
      <c r="AK17" s="130">
        <v>259.71243304319211</v>
      </c>
      <c r="AL17" s="130">
        <v>0</v>
      </c>
      <c r="AM17" s="138"/>
      <c r="AN17" s="182"/>
      <c r="AO17" s="183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27"/>
      <c r="BK17" s="184"/>
      <c r="BL17" s="184"/>
      <c r="BM17" s="184"/>
      <c r="BN17" s="182"/>
      <c r="BO17" s="182"/>
      <c r="BP17" s="182"/>
      <c r="BQ17" s="185"/>
      <c r="BR17" s="186"/>
      <c r="BS17" s="187"/>
      <c r="BT17" s="187"/>
      <c r="BU17" s="187"/>
      <c r="BV17" s="187"/>
      <c r="BW17" s="187"/>
      <c r="BX17" s="187"/>
      <c r="BY17" s="138"/>
      <c r="BZ17" s="182"/>
      <c r="CA17" s="183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</row>
    <row r="18" spans="1:92" s="181" customFormat="1" ht="31.5" x14ac:dyDescent="0.25">
      <c r="A18" s="122">
        <v>13</v>
      </c>
      <c r="B18" s="123" t="s">
        <v>354</v>
      </c>
      <c r="C18" s="122" t="s">
        <v>349</v>
      </c>
      <c r="D18" s="124">
        <v>1691</v>
      </c>
      <c r="E18" s="125" t="s">
        <v>355</v>
      </c>
      <c r="F18" s="126">
        <v>1.0590999999999999</v>
      </c>
      <c r="G18" s="124">
        <v>23803</v>
      </c>
      <c r="H18" s="124">
        <v>23803</v>
      </c>
      <c r="I18" s="124">
        <v>18348</v>
      </c>
      <c r="J18" s="124">
        <v>2200</v>
      </c>
      <c r="K18" s="124">
        <v>0</v>
      </c>
      <c r="L18" s="124">
        <v>217</v>
      </c>
      <c r="M18" s="124">
        <v>23803</v>
      </c>
      <c r="N18" s="124">
        <v>18348</v>
      </c>
      <c r="O18" s="124">
        <v>2200</v>
      </c>
      <c r="P18" s="124">
        <v>0</v>
      </c>
      <c r="Q18" s="124">
        <v>217</v>
      </c>
      <c r="R18" s="124">
        <v>3255</v>
      </c>
      <c r="S18" s="124">
        <v>4227.5155674422804</v>
      </c>
      <c r="T18" s="124">
        <v>0.6328800000001138</v>
      </c>
      <c r="U18" s="124">
        <v>4226.8826874422803</v>
      </c>
      <c r="V18" s="124">
        <v>9161.7949622996621</v>
      </c>
      <c r="W18" s="124">
        <v>0</v>
      </c>
      <c r="X18" s="124">
        <v>9161.7949622996621</v>
      </c>
      <c r="Y18" s="124">
        <v>0</v>
      </c>
      <c r="Z18" s="124">
        <v>0</v>
      </c>
      <c r="AA18" s="127">
        <v>0.23799999999999999</v>
      </c>
      <c r="AB18" s="128">
        <v>330000</v>
      </c>
      <c r="AC18" s="128">
        <v>320000</v>
      </c>
      <c r="AD18" s="128">
        <v>1740000</v>
      </c>
      <c r="AE18" s="125" t="s">
        <v>347</v>
      </c>
      <c r="AF18" s="122">
        <v>2028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8"/>
      <c r="AN18" s="182"/>
      <c r="AO18" s="183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27"/>
      <c r="BK18" s="184"/>
      <c r="BL18" s="184"/>
      <c r="BM18" s="184"/>
      <c r="BN18" s="182"/>
      <c r="BO18" s="182"/>
      <c r="BP18" s="182"/>
      <c r="BQ18" s="185"/>
      <c r="BR18" s="186"/>
      <c r="BS18" s="187"/>
      <c r="BT18" s="187"/>
      <c r="BU18" s="187"/>
      <c r="BV18" s="187"/>
      <c r="BW18" s="187"/>
      <c r="BX18" s="187"/>
      <c r="BY18" s="138"/>
      <c r="BZ18" s="182"/>
      <c r="CA18" s="183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</row>
    <row r="19" spans="1:92" s="181" customFormat="1" ht="10.5" customHeight="1" x14ac:dyDescent="0.25">
      <c r="A19" s="122">
        <v>14</v>
      </c>
      <c r="B19" s="123" t="s">
        <v>296</v>
      </c>
      <c r="C19" s="122" t="s">
        <v>349</v>
      </c>
      <c r="D19" s="124">
        <v>2090</v>
      </c>
      <c r="E19" s="125" t="s">
        <v>342</v>
      </c>
      <c r="F19" s="126">
        <v>2.7637</v>
      </c>
      <c r="G19" s="124">
        <v>42148.5</v>
      </c>
      <c r="H19" s="124">
        <v>42148.5</v>
      </c>
      <c r="I19" s="124">
        <v>34614.75</v>
      </c>
      <c r="J19" s="124">
        <v>4526</v>
      </c>
      <c r="K19" s="124">
        <v>0</v>
      </c>
      <c r="L19" s="124">
        <v>227</v>
      </c>
      <c r="M19" s="124">
        <v>42148.5</v>
      </c>
      <c r="N19" s="124">
        <v>34614.75</v>
      </c>
      <c r="O19" s="124">
        <v>4526</v>
      </c>
      <c r="P19" s="124">
        <v>0</v>
      </c>
      <c r="Q19" s="124">
        <v>227</v>
      </c>
      <c r="R19" s="124">
        <v>3007.75</v>
      </c>
      <c r="S19" s="124">
        <v>7556.2110308525416</v>
      </c>
      <c r="T19" s="124">
        <v>529.88248422692322</v>
      </c>
      <c r="U19" s="124">
        <v>7026.3285466256184</v>
      </c>
      <c r="V19" s="124">
        <v>11443.323779792316</v>
      </c>
      <c r="W19" s="124">
        <v>0</v>
      </c>
      <c r="X19" s="124">
        <v>11443.323779792316</v>
      </c>
      <c r="Y19" s="124">
        <v>0</v>
      </c>
      <c r="Z19" s="124">
        <v>0</v>
      </c>
      <c r="AA19" s="127">
        <v>0.23799999999999999</v>
      </c>
      <c r="AB19" s="128">
        <v>290000</v>
      </c>
      <c r="AC19" s="128">
        <v>100000</v>
      </c>
      <c r="AD19" s="128">
        <v>800000</v>
      </c>
      <c r="AE19" s="125" t="s">
        <v>347</v>
      </c>
      <c r="AF19" s="122">
        <v>2028</v>
      </c>
      <c r="AG19" s="130">
        <v>1215.4056993099994</v>
      </c>
      <c r="AH19" s="130">
        <v>1213.9256993099993</v>
      </c>
      <c r="AI19" s="130">
        <v>1.4800000000000182</v>
      </c>
      <c r="AJ19" s="130">
        <v>0</v>
      </c>
      <c r="AK19" s="130">
        <v>1.0802884072323113</v>
      </c>
      <c r="AL19" s="130">
        <v>0</v>
      </c>
      <c r="AM19" s="138"/>
      <c r="AN19" s="182"/>
      <c r="AO19" s="183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27"/>
      <c r="BK19" s="184"/>
      <c r="BL19" s="184"/>
      <c r="BM19" s="184"/>
      <c r="BN19" s="182"/>
      <c r="BO19" s="182"/>
      <c r="BP19" s="182"/>
      <c r="BQ19" s="185"/>
      <c r="BR19" s="186"/>
      <c r="BS19" s="187"/>
      <c r="BT19" s="187"/>
      <c r="BU19" s="187"/>
      <c r="BV19" s="187"/>
      <c r="BW19" s="187"/>
      <c r="BX19" s="187"/>
      <c r="BY19" s="138"/>
      <c r="BZ19" s="182"/>
      <c r="CA19" s="183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</row>
    <row r="20" spans="1:92" s="181" customFormat="1" ht="10.5" customHeight="1" x14ac:dyDescent="0.25">
      <c r="A20" s="122">
        <v>15</v>
      </c>
      <c r="B20" s="123" t="s">
        <v>411</v>
      </c>
      <c r="C20" s="122" t="s">
        <v>349</v>
      </c>
      <c r="D20" s="124">
        <v>839</v>
      </c>
      <c r="E20" s="125" t="s">
        <v>342</v>
      </c>
      <c r="F20" s="126">
        <v>1.4824999999999999</v>
      </c>
      <c r="G20" s="124">
        <v>12033.8</v>
      </c>
      <c r="H20" s="124">
        <v>12033.8</v>
      </c>
      <c r="I20" s="124">
        <v>11376.8</v>
      </c>
      <c r="J20" s="124">
        <v>657</v>
      </c>
      <c r="K20" s="124">
        <v>0</v>
      </c>
      <c r="L20" s="124">
        <v>0</v>
      </c>
      <c r="M20" s="124">
        <v>3507.1999999999985</v>
      </c>
      <c r="N20" s="124">
        <v>3102.0999999999985</v>
      </c>
      <c r="O20" s="124">
        <v>405.1</v>
      </c>
      <c r="P20" s="124">
        <v>0</v>
      </c>
      <c r="Q20" s="124">
        <v>0</v>
      </c>
      <c r="R20" s="124">
        <v>0</v>
      </c>
      <c r="S20" s="124">
        <v>1627.6877835939999</v>
      </c>
      <c r="T20" s="124">
        <v>1088.5024400311004</v>
      </c>
      <c r="U20" s="124">
        <v>539.18534356289945</v>
      </c>
      <c r="V20" s="124">
        <v>2789.16730005</v>
      </c>
      <c r="W20" s="124">
        <v>435.87680822000004</v>
      </c>
      <c r="X20" s="124">
        <v>962.78156839999997</v>
      </c>
      <c r="Y20" s="124">
        <v>1390.5089234300001</v>
      </c>
      <c r="Z20" s="124">
        <v>1273.0601131599999</v>
      </c>
      <c r="AA20" s="127">
        <v>0.21199999999999999</v>
      </c>
      <c r="AB20" s="128">
        <v>270000</v>
      </c>
      <c r="AC20" s="128">
        <v>248000</v>
      </c>
      <c r="AD20" s="128">
        <v>0</v>
      </c>
      <c r="AE20" s="125" t="s">
        <v>340</v>
      </c>
      <c r="AF20" s="122">
        <v>2025</v>
      </c>
      <c r="AG20" s="130">
        <v>197.248473011941</v>
      </c>
      <c r="AH20" s="130">
        <v>197.248473011941</v>
      </c>
      <c r="AI20" s="130">
        <v>0</v>
      </c>
      <c r="AJ20" s="130">
        <v>0</v>
      </c>
      <c r="AK20" s="130">
        <v>0</v>
      </c>
      <c r="AL20" s="130">
        <v>0</v>
      </c>
      <c r="AM20" s="138"/>
      <c r="AN20" s="182"/>
      <c r="AO20" s="183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27"/>
      <c r="BK20" s="184"/>
      <c r="BL20" s="184"/>
      <c r="BM20" s="184"/>
      <c r="BN20" s="182"/>
      <c r="BO20" s="182"/>
      <c r="BP20" s="182"/>
      <c r="BQ20" s="185"/>
      <c r="BR20" s="186"/>
      <c r="BS20" s="187"/>
      <c r="BT20" s="187"/>
      <c r="BU20" s="187"/>
      <c r="BV20" s="187"/>
      <c r="BW20" s="187"/>
      <c r="BX20" s="187"/>
      <c r="BY20" s="138"/>
      <c r="BZ20" s="182"/>
      <c r="CA20" s="183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</row>
    <row r="21" spans="1:92" s="181" customFormat="1" ht="10.5" customHeight="1" x14ac:dyDescent="0.25">
      <c r="A21" s="122">
        <v>16</v>
      </c>
      <c r="B21" s="123" t="s">
        <v>452</v>
      </c>
      <c r="C21" s="122" t="s">
        <v>349</v>
      </c>
      <c r="D21" s="124">
        <v>884</v>
      </c>
      <c r="E21" s="125" t="s">
        <v>342</v>
      </c>
      <c r="F21" s="126">
        <v>0.24440000000000001</v>
      </c>
      <c r="G21" s="124">
        <v>9353</v>
      </c>
      <c r="H21" s="124">
        <v>9277</v>
      </c>
      <c r="I21" s="124">
        <v>7951</v>
      </c>
      <c r="J21" s="124">
        <v>381</v>
      </c>
      <c r="K21" s="124">
        <v>0</v>
      </c>
      <c r="L21" s="124">
        <v>63</v>
      </c>
      <c r="M21" s="124">
        <v>9277</v>
      </c>
      <c r="N21" s="124">
        <v>7951</v>
      </c>
      <c r="O21" s="124">
        <v>381</v>
      </c>
      <c r="P21" s="124">
        <v>0</v>
      </c>
      <c r="Q21" s="124">
        <v>63</v>
      </c>
      <c r="R21" s="124">
        <v>945</v>
      </c>
      <c r="S21" s="124">
        <v>1710.7114165858245</v>
      </c>
      <c r="T21" s="124">
        <v>90.745610665039067</v>
      </c>
      <c r="U21" s="124">
        <v>1619.9658059207854</v>
      </c>
      <c r="V21" s="124">
        <v>4390.2995680864196</v>
      </c>
      <c r="W21" s="124">
        <v>0</v>
      </c>
      <c r="X21" s="124">
        <v>4390.2995680864196</v>
      </c>
      <c r="Y21" s="124">
        <v>0</v>
      </c>
      <c r="Z21" s="124">
        <v>482.77743917999999</v>
      </c>
      <c r="AA21" s="127">
        <v>0.23799999999999999</v>
      </c>
      <c r="AB21" s="128">
        <v>420000</v>
      </c>
      <c r="AC21" s="128">
        <v>340000</v>
      </c>
      <c r="AD21" s="128">
        <v>2300000</v>
      </c>
      <c r="AE21" s="125" t="s">
        <v>347</v>
      </c>
      <c r="AF21" s="122">
        <v>2028</v>
      </c>
      <c r="AG21" s="130">
        <v>976</v>
      </c>
      <c r="AH21" s="130">
        <v>976</v>
      </c>
      <c r="AI21" s="130">
        <v>0</v>
      </c>
      <c r="AJ21" s="130">
        <v>0</v>
      </c>
      <c r="AK21" s="130">
        <v>0</v>
      </c>
      <c r="AL21" s="130">
        <v>0</v>
      </c>
      <c r="AM21" s="138"/>
      <c r="AN21" s="182"/>
      <c r="AO21" s="183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27"/>
      <c r="BK21" s="184"/>
      <c r="BL21" s="184"/>
      <c r="BM21" s="184"/>
      <c r="BN21" s="182"/>
      <c r="BO21" s="182"/>
      <c r="BP21" s="182"/>
      <c r="BQ21" s="185"/>
      <c r="BR21" s="186"/>
      <c r="BS21" s="187"/>
      <c r="BT21" s="187"/>
      <c r="BU21" s="187"/>
      <c r="BV21" s="187"/>
      <c r="BW21" s="187"/>
      <c r="BX21" s="187"/>
      <c r="BY21" s="138"/>
      <c r="BZ21" s="182"/>
      <c r="CA21" s="183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</row>
    <row r="22" spans="1:92" s="181" customFormat="1" ht="10.5" customHeight="1" x14ac:dyDescent="0.25">
      <c r="A22" s="122">
        <v>17</v>
      </c>
      <c r="B22" s="123" t="s">
        <v>453</v>
      </c>
      <c r="C22" s="122" t="s">
        <v>454</v>
      </c>
      <c r="D22" s="124">
        <v>5079</v>
      </c>
      <c r="E22" s="125" t="s">
        <v>342</v>
      </c>
      <c r="F22" s="126">
        <v>16.8704</v>
      </c>
      <c r="G22" s="124">
        <v>409592</v>
      </c>
      <c r="H22" s="124">
        <v>363328</v>
      </c>
      <c r="I22" s="124">
        <v>321241</v>
      </c>
      <c r="J22" s="124">
        <v>14087</v>
      </c>
      <c r="K22" s="124">
        <v>0</v>
      </c>
      <c r="L22" s="124">
        <v>1000</v>
      </c>
      <c r="M22" s="124">
        <v>363328</v>
      </c>
      <c r="N22" s="124">
        <v>321241</v>
      </c>
      <c r="O22" s="124">
        <v>14087</v>
      </c>
      <c r="P22" s="124">
        <v>0</v>
      </c>
      <c r="Q22" s="124">
        <v>1000</v>
      </c>
      <c r="R22" s="124">
        <v>28000</v>
      </c>
      <c r="S22" s="124">
        <v>44630.379678801233</v>
      </c>
      <c r="T22" s="124">
        <v>0</v>
      </c>
      <c r="U22" s="124">
        <v>44630.379678801233</v>
      </c>
      <c r="V22" s="124">
        <v>79419.534780288741</v>
      </c>
      <c r="W22" s="124">
        <v>0</v>
      </c>
      <c r="X22" s="124">
        <v>79419.534780288741</v>
      </c>
      <c r="Y22" s="124">
        <v>0</v>
      </c>
      <c r="Z22" s="124">
        <v>0</v>
      </c>
      <c r="AA22" s="127">
        <v>0.23799999999999999</v>
      </c>
      <c r="AB22" s="128">
        <v>160000</v>
      </c>
      <c r="AC22" s="128">
        <v>225000</v>
      </c>
      <c r="AD22" s="128">
        <v>380000</v>
      </c>
      <c r="AE22" s="125" t="s">
        <v>347</v>
      </c>
      <c r="AF22" s="129" t="s">
        <v>455</v>
      </c>
      <c r="AG22" s="130">
        <v>5030.0000000000009</v>
      </c>
      <c r="AH22" s="130">
        <v>728</v>
      </c>
      <c r="AI22" s="130">
        <v>4302.0000000000009</v>
      </c>
      <c r="AJ22" s="130">
        <v>0</v>
      </c>
      <c r="AK22" s="130">
        <v>3561.125361344662</v>
      </c>
      <c r="AL22" s="130">
        <v>0</v>
      </c>
      <c r="AM22" s="138"/>
      <c r="AN22" s="182"/>
      <c r="AO22" s="183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27"/>
      <c r="BK22" s="184"/>
      <c r="BL22" s="184"/>
      <c r="BM22" s="184"/>
      <c r="BN22" s="182"/>
      <c r="BO22" s="182"/>
      <c r="BP22" s="182"/>
      <c r="BQ22" s="185"/>
      <c r="BR22" s="188"/>
      <c r="BS22" s="187"/>
      <c r="BT22" s="187"/>
      <c r="BU22" s="187"/>
      <c r="BV22" s="187"/>
      <c r="BW22" s="187"/>
      <c r="BX22" s="187"/>
      <c r="BY22" s="138"/>
      <c r="BZ22" s="182"/>
      <c r="CA22" s="183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</row>
    <row r="23" spans="1:92" s="181" customFormat="1" ht="10.5" customHeight="1" x14ac:dyDescent="0.25">
      <c r="A23" s="133"/>
      <c r="B23" s="159" t="s">
        <v>456</v>
      </c>
      <c r="C23" s="133"/>
      <c r="D23" s="135">
        <v>37895</v>
      </c>
      <c r="E23" s="133"/>
      <c r="F23" s="133"/>
      <c r="G23" s="135">
        <v>870689.02</v>
      </c>
      <c r="H23" s="135">
        <v>776088.88</v>
      </c>
      <c r="I23" s="135">
        <v>679266.57000000007</v>
      </c>
      <c r="J23" s="135">
        <v>46418.06</v>
      </c>
      <c r="K23" s="135">
        <v>0</v>
      </c>
      <c r="L23" s="135">
        <v>3104</v>
      </c>
      <c r="M23" s="135">
        <v>743779.67999999993</v>
      </c>
      <c r="N23" s="135">
        <v>640185.2699999999</v>
      </c>
      <c r="O23" s="135">
        <v>43996.66</v>
      </c>
      <c r="P23" s="135">
        <v>0</v>
      </c>
      <c r="Q23" s="135">
        <v>3060</v>
      </c>
      <c r="R23" s="135">
        <v>59597.75</v>
      </c>
      <c r="S23" s="135">
        <v>114308.53870272287</v>
      </c>
      <c r="T23" s="135">
        <v>12558.186551355368</v>
      </c>
      <c r="U23" s="135">
        <v>101750.35215136751</v>
      </c>
      <c r="V23" s="135">
        <v>235763.1330136297</v>
      </c>
      <c r="W23" s="135">
        <v>5726.7582865700006</v>
      </c>
      <c r="X23" s="135">
        <v>224118.00675390975</v>
      </c>
      <c r="Y23" s="135">
        <v>5918.3679731500006</v>
      </c>
      <c r="Z23" s="135">
        <v>8884.3147559699992</v>
      </c>
      <c r="AA23" s="136"/>
      <c r="AB23" s="135"/>
      <c r="AC23" s="135"/>
      <c r="AD23" s="135"/>
      <c r="AE23" s="136"/>
      <c r="AF23" s="136"/>
      <c r="AG23" s="137">
        <v>17194.700247123943</v>
      </c>
      <c r="AH23" s="137">
        <v>11785.199680723941</v>
      </c>
      <c r="AI23" s="137">
        <v>5409.5005664000009</v>
      </c>
      <c r="AJ23" s="137">
        <v>0</v>
      </c>
      <c r="AK23" s="137">
        <v>4347.9420067469409</v>
      </c>
      <c r="AL23" s="137">
        <v>0</v>
      </c>
      <c r="AM23" s="189"/>
      <c r="AN23" s="190"/>
      <c r="AO23" s="190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91"/>
      <c r="BK23" s="189"/>
      <c r="BL23" s="189"/>
      <c r="BM23" s="189"/>
      <c r="BN23" s="191"/>
      <c r="BO23" s="191"/>
      <c r="BP23" s="191"/>
      <c r="BQ23" s="191"/>
      <c r="BR23" s="191"/>
      <c r="BS23" s="192"/>
      <c r="BT23" s="192"/>
      <c r="BU23" s="192"/>
      <c r="BV23" s="192"/>
      <c r="BW23" s="192"/>
      <c r="BX23" s="192"/>
      <c r="BY23" s="189"/>
      <c r="BZ23" s="190"/>
      <c r="CA23" s="190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</row>
    <row r="24" spans="1:92" s="181" customFormat="1" ht="10.5" customHeight="1" x14ac:dyDescent="0.25">
      <c r="A24" s="172"/>
      <c r="B24" s="119" t="s">
        <v>457</v>
      </c>
      <c r="C24" s="172"/>
      <c r="D24" s="171"/>
      <c r="E24" s="172"/>
      <c r="F24" s="172"/>
      <c r="G24" s="172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71"/>
      <c r="T24" s="171"/>
      <c r="U24" s="171"/>
      <c r="V24" s="171"/>
      <c r="W24" s="171"/>
      <c r="X24" s="171"/>
      <c r="Y24" s="171"/>
      <c r="Z24" s="171"/>
      <c r="AA24" s="171"/>
      <c r="AB24" s="120"/>
      <c r="AC24" s="120"/>
      <c r="AD24" s="120"/>
      <c r="AE24" s="171"/>
      <c r="AF24" s="171"/>
      <c r="AG24" s="171"/>
      <c r="AH24" s="171"/>
      <c r="AI24" s="121"/>
      <c r="AJ24" s="121"/>
      <c r="AK24" s="121"/>
      <c r="AL24" s="121"/>
      <c r="AM24" s="175"/>
      <c r="AN24" s="176"/>
      <c r="AO24" s="176"/>
      <c r="AP24" s="176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5"/>
      <c r="BC24" s="175"/>
      <c r="BD24" s="175"/>
      <c r="BE24" s="175"/>
      <c r="BF24" s="175"/>
      <c r="BG24" s="175"/>
      <c r="BH24" s="175"/>
      <c r="BI24" s="175"/>
      <c r="BJ24" s="175"/>
      <c r="BK24" s="178"/>
      <c r="BL24" s="178"/>
      <c r="BM24" s="178"/>
      <c r="BN24" s="175"/>
      <c r="BO24" s="179"/>
      <c r="BP24" s="179"/>
      <c r="BQ24" s="179"/>
      <c r="BR24" s="175"/>
      <c r="BS24" s="175"/>
      <c r="BT24" s="175"/>
      <c r="BU24" s="180"/>
      <c r="BV24" s="180"/>
      <c r="BW24" s="180"/>
      <c r="BX24" s="180"/>
      <c r="BY24" s="175"/>
      <c r="BZ24" s="176"/>
      <c r="CA24" s="176"/>
      <c r="CB24" s="176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5"/>
    </row>
    <row r="25" spans="1:92" s="181" customFormat="1" ht="18" customHeight="1" x14ac:dyDescent="0.25">
      <c r="A25" s="122">
        <v>18</v>
      </c>
      <c r="B25" s="123" t="s">
        <v>298</v>
      </c>
      <c r="C25" s="122" t="s">
        <v>297</v>
      </c>
      <c r="D25" s="124">
        <v>14245</v>
      </c>
      <c r="E25" s="125" t="s">
        <v>339</v>
      </c>
      <c r="F25" s="126">
        <v>164.42689999999999</v>
      </c>
      <c r="G25" s="124">
        <v>1290666.2000000002</v>
      </c>
      <c r="H25" s="124">
        <v>1073964.0506965017</v>
      </c>
      <c r="I25" s="124">
        <v>964018.54069650185</v>
      </c>
      <c r="J25" s="124">
        <v>66765.41</v>
      </c>
      <c r="K25" s="124">
        <v>0</v>
      </c>
      <c r="L25" s="124">
        <v>2903</v>
      </c>
      <c r="M25" s="124">
        <v>961460.35069650179</v>
      </c>
      <c r="N25" s="124">
        <v>859938.7406965018</v>
      </c>
      <c r="O25" s="124">
        <v>58399.61</v>
      </c>
      <c r="P25" s="124">
        <v>0</v>
      </c>
      <c r="Q25" s="124">
        <v>2822</v>
      </c>
      <c r="R25" s="124">
        <v>43122</v>
      </c>
      <c r="S25" s="124">
        <v>164405.59192651851</v>
      </c>
      <c r="T25" s="124">
        <v>14699.768596553884</v>
      </c>
      <c r="U25" s="124">
        <v>149705.82332996462</v>
      </c>
      <c r="V25" s="124">
        <v>210816.63299865864</v>
      </c>
      <c r="W25" s="124">
        <v>1350.8387094199998</v>
      </c>
      <c r="X25" s="124">
        <v>198345.77699637864</v>
      </c>
      <c r="Y25" s="124">
        <v>11120.01729286</v>
      </c>
      <c r="Z25" s="124">
        <v>10190.274257820001</v>
      </c>
      <c r="AA25" s="127">
        <v>0.21199999999999999</v>
      </c>
      <c r="AB25" s="128">
        <v>160000</v>
      </c>
      <c r="AC25" s="128">
        <v>200000</v>
      </c>
      <c r="AD25" s="128">
        <v>1540000</v>
      </c>
      <c r="AE25" s="125" t="s">
        <v>340</v>
      </c>
      <c r="AF25" s="129" t="s">
        <v>458</v>
      </c>
      <c r="AG25" s="130">
        <v>78.247758684511197</v>
      </c>
      <c r="AH25" s="130">
        <v>67.840394081034972</v>
      </c>
      <c r="AI25" s="130">
        <v>10.407364603476225</v>
      </c>
      <c r="AJ25" s="130">
        <v>0</v>
      </c>
      <c r="AK25" s="130">
        <v>5.1083637513265012</v>
      </c>
      <c r="AL25" s="130">
        <v>0</v>
      </c>
      <c r="AM25" s="138"/>
      <c r="AN25" s="182"/>
      <c r="AO25" s="183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27"/>
      <c r="BK25" s="184"/>
      <c r="BL25" s="184"/>
      <c r="BM25" s="184"/>
      <c r="BN25" s="182"/>
      <c r="BO25" s="182"/>
      <c r="BP25" s="182"/>
      <c r="BQ25" s="185"/>
      <c r="BR25" s="188"/>
      <c r="BS25" s="187"/>
      <c r="BT25" s="187"/>
      <c r="BU25" s="187"/>
      <c r="BV25" s="187"/>
      <c r="BW25" s="187"/>
      <c r="BX25" s="187"/>
      <c r="BY25" s="138"/>
      <c r="BZ25" s="182"/>
      <c r="CA25" s="183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</row>
    <row r="26" spans="1:92" s="181" customFormat="1" ht="10.5" customHeight="1" x14ac:dyDescent="0.25">
      <c r="A26" s="172"/>
      <c r="B26" s="119" t="s">
        <v>459</v>
      </c>
      <c r="C26" s="172"/>
      <c r="D26" s="171"/>
      <c r="E26" s="172"/>
      <c r="F26" s="172"/>
      <c r="G26" s="172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71"/>
      <c r="T26" s="171"/>
      <c r="U26" s="171"/>
      <c r="V26" s="171"/>
      <c r="W26" s="171"/>
      <c r="X26" s="171"/>
      <c r="Y26" s="171"/>
      <c r="Z26" s="171"/>
      <c r="AA26" s="171"/>
      <c r="AB26" s="120"/>
      <c r="AC26" s="120"/>
      <c r="AD26" s="120"/>
      <c r="AE26" s="171"/>
      <c r="AF26" s="171"/>
      <c r="AG26" s="171"/>
      <c r="AH26" s="171"/>
      <c r="AI26" s="121"/>
      <c r="AJ26" s="121"/>
      <c r="AK26" s="121"/>
      <c r="AL26" s="121"/>
      <c r="AM26" s="175"/>
      <c r="AN26" s="176"/>
      <c r="AO26" s="176"/>
      <c r="AP26" s="176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5"/>
      <c r="BC26" s="175"/>
      <c r="BD26" s="175"/>
      <c r="BE26" s="175"/>
      <c r="BF26" s="175"/>
      <c r="BG26" s="175"/>
      <c r="BH26" s="175"/>
      <c r="BI26" s="175"/>
      <c r="BJ26" s="175"/>
      <c r="BK26" s="178"/>
      <c r="BL26" s="178"/>
      <c r="BM26" s="178"/>
      <c r="BN26" s="175"/>
      <c r="BO26" s="179"/>
      <c r="BP26" s="179"/>
      <c r="BQ26" s="179"/>
      <c r="BR26" s="175"/>
      <c r="BS26" s="175"/>
      <c r="BT26" s="175"/>
      <c r="BU26" s="180"/>
      <c r="BV26" s="180"/>
      <c r="BW26" s="180"/>
      <c r="BX26" s="180"/>
      <c r="BY26" s="175"/>
      <c r="BZ26" s="176"/>
      <c r="CA26" s="176"/>
      <c r="CB26" s="176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5"/>
    </row>
    <row r="27" spans="1:92" s="181" customFormat="1" ht="10.5" customHeight="1" x14ac:dyDescent="0.25">
      <c r="A27" s="122">
        <v>19</v>
      </c>
      <c r="B27" s="123" t="s">
        <v>412</v>
      </c>
      <c r="C27" s="122" t="s">
        <v>359</v>
      </c>
      <c r="D27" s="124">
        <v>6799</v>
      </c>
      <c r="E27" s="125" t="s">
        <v>342</v>
      </c>
      <c r="F27" s="126">
        <v>26.09</v>
      </c>
      <c r="G27" s="124">
        <v>299700.8</v>
      </c>
      <c r="H27" s="124">
        <v>299700.8</v>
      </c>
      <c r="I27" s="124">
        <v>225918.19999999998</v>
      </c>
      <c r="J27" s="124">
        <v>22552.3</v>
      </c>
      <c r="K27" s="124">
        <v>0</v>
      </c>
      <c r="L27" s="124">
        <v>3442</v>
      </c>
      <c r="M27" s="124">
        <v>274828</v>
      </c>
      <c r="N27" s="124">
        <v>200584.09999999998</v>
      </c>
      <c r="O27" s="124">
        <v>21803.9</v>
      </c>
      <c r="P27" s="124">
        <v>0</v>
      </c>
      <c r="Q27" s="124">
        <v>3187</v>
      </c>
      <c r="R27" s="124">
        <v>52440</v>
      </c>
      <c r="S27" s="124">
        <v>34790.362229228616</v>
      </c>
      <c r="T27" s="124">
        <v>2274.1319741878906</v>
      </c>
      <c r="U27" s="124">
        <v>32516.230255040726</v>
      </c>
      <c r="V27" s="124">
        <v>48521.93934502262</v>
      </c>
      <c r="W27" s="124">
        <v>1900.8290145800001</v>
      </c>
      <c r="X27" s="124">
        <v>45200.310054022622</v>
      </c>
      <c r="Y27" s="124">
        <v>1420.80027642</v>
      </c>
      <c r="Z27" s="124">
        <v>2465.5514867100001</v>
      </c>
      <c r="AA27" s="127">
        <v>0.21199999999999999</v>
      </c>
      <c r="AB27" s="128">
        <v>161000</v>
      </c>
      <c r="AC27" s="128">
        <v>130000</v>
      </c>
      <c r="AD27" s="128">
        <v>500000</v>
      </c>
      <c r="AE27" s="125" t="s">
        <v>340</v>
      </c>
      <c r="AF27" s="129" t="s">
        <v>460</v>
      </c>
      <c r="AG27" s="130">
        <v>861.68466246881349</v>
      </c>
      <c r="AH27" s="130">
        <v>854.17034273881347</v>
      </c>
      <c r="AI27" s="130">
        <v>7.5143197300000111</v>
      </c>
      <c r="AJ27" s="130">
        <v>0</v>
      </c>
      <c r="AK27" s="130">
        <v>6.8255611239894591</v>
      </c>
      <c r="AL27" s="130">
        <v>0</v>
      </c>
      <c r="AM27" s="138"/>
      <c r="AN27" s="182"/>
      <c r="AO27" s="183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27"/>
      <c r="BK27" s="184"/>
      <c r="BL27" s="184"/>
      <c r="BM27" s="184"/>
      <c r="BN27" s="182"/>
      <c r="BO27" s="182"/>
      <c r="BP27" s="182"/>
      <c r="BQ27" s="185"/>
      <c r="BR27" s="188"/>
      <c r="BS27" s="187"/>
      <c r="BT27" s="187"/>
      <c r="BU27" s="187"/>
      <c r="BV27" s="187"/>
      <c r="BW27" s="187"/>
      <c r="BX27" s="187"/>
      <c r="BY27" s="138"/>
      <c r="BZ27" s="182"/>
      <c r="CA27" s="183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</row>
    <row r="28" spans="1:92" s="181" customFormat="1" ht="10.5" customHeight="1" x14ac:dyDescent="0.25">
      <c r="A28" s="172"/>
      <c r="B28" s="119" t="s">
        <v>461</v>
      </c>
      <c r="C28" s="172"/>
      <c r="D28" s="171"/>
      <c r="E28" s="172"/>
      <c r="F28" s="172"/>
      <c r="G28" s="172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71"/>
      <c r="T28" s="171"/>
      <c r="U28" s="171"/>
      <c r="V28" s="171"/>
      <c r="W28" s="171"/>
      <c r="X28" s="171"/>
      <c r="Y28" s="171"/>
      <c r="Z28" s="171"/>
      <c r="AA28" s="171"/>
      <c r="AB28" s="120"/>
      <c r="AC28" s="120"/>
      <c r="AD28" s="120"/>
      <c r="AE28" s="171"/>
      <c r="AF28" s="171"/>
      <c r="AG28" s="171"/>
      <c r="AH28" s="171"/>
      <c r="AI28" s="121"/>
      <c r="AJ28" s="121"/>
      <c r="AK28" s="121"/>
      <c r="AL28" s="121"/>
      <c r="AM28" s="175"/>
      <c r="AN28" s="176"/>
      <c r="AO28" s="176"/>
      <c r="AP28" s="176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5"/>
      <c r="BC28" s="175"/>
      <c r="BD28" s="175"/>
      <c r="BE28" s="175"/>
      <c r="BF28" s="175"/>
      <c r="BG28" s="175"/>
      <c r="BH28" s="175"/>
      <c r="BI28" s="175"/>
      <c r="BJ28" s="175"/>
      <c r="BK28" s="178"/>
      <c r="BL28" s="178"/>
      <c r="BM28" s="178"/>
      <c r="BN28" s="175"/>
      <c r="BO28" s="179"/>
      <c r="BP28" s="179"/>
      <c r="BQ28" s="179"/>
      <c r="BR28" s="175"/>
      <c r="BS28" s="175"/>
      <c r="BT28" s="175"/>
      <c r="BU28" s="180"/>
      <c r="BV28" s="180"/>
      <c r="BW28" s="180"/>
      <c r="BX28" s="180"/>
      <c r="BY28" s="175"/>
      <c r="BZ28" s="176"/>
      <c r="CA28" s="176"/>
      <c r="CB28" s="176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5"/>
    </row>
    <row r="29" spans="1:92" s="181" customFormat="1" ht="10.5" customHeight="1" x14ac:dyDescent="0.25">
      <c r="A29" s="122">
        <v>20</v>
      </c>
      <c r="B29" s="123" t="s">
        <v>413</v>
      </c>
      <c r="C29" s="122" t="s">
        <v>462</v>
      </c>
      <c r="D29" s="124">
        <v>33313</v>
      </c>
      <c r="E29" s="125" t="s">
        <v>342</v>
      </c>
      <c r="F29" s="126">
        <v>169.77189999999999</v>
      </c>
      <c r="G29" s="124">
        <v>1885284.7400000005</v>
      </c>
      <c r="H29" s="124">
        <v>1827864.7400000005</v>
      </c>
      <c r="I29" s="124">
        <v>1542172.61</v>
      </c>
      <c r="J29" s="124">
        <v>112802.43000000004</v>
      </c>
      <c r="K29" s="124">
        <v>1500</v>
      </c>
      <c r="L29" s="124">
        <v>11517</v>
      </c>
      <c r="M29" s="124">
        <v>1697702</v>
      </c>
      <c r="N29" s="124">
        <v>1418159.6</v>
      </c>
      <c r="O29" s="124">
        <v>108152.70000000003</v>
      </c>
      <c r="P29" s="124">
        <v>0</v>
      </c>
      <c r="Q29" s="124">
        <v>11517</v>
      </c>
      <c r="R29" s="124">
        <v>171389.7</v>
      </c>
      <c r="S29" s="124">
        <v>206464.64495336491</v>
      </c>
      <c r="T29" s="124">
        <v>8429.1641620443843</v>
      </c>
      <c r="U29" s="124">
        <v>198035.48079132053</v>
      </c>
      <c r="V29" s="124">
        <v>331877.75485934038</v>
      </c>
      <c r="W29" s="124">
        <v>4140.9677232700005</v>
      </c>
      <c r="X29" s="124">
        <v>316795.67704122036</v>
      </c>
      <c r="Y29" s="124">
        <v>10941.110094850001</v>
      </c>
      <c r="Z29" s="124">
        <v>6206.552001850001</v>
      </c>
      <c r="AA29" s="127">
        <v>0.21199999999999999</v>
      </c>
      <c r="AB29" s="128">
        <v>144000</v>
      </c>
      <c r="AC29" s="128">
        <v>146000</v>
      </c>
      <c r="AD29" s="128">
        <v>300000</v>
      </c>
      <c r="AE29" s="125" t="s">
        <v>340</v>
      </c>
      <c r="AF29" s="129" t="s">
        <v>463</v>
      </c>
      <c r="AG29" s="130">
        <v>10973.872297864216</v>
      </c>
      <c r="AH29" s="130">
        <v>9894.2700067087662</v>
      </c>
      <c r="AI29" s="130">
        <v>1079.6022911554501</v>
      </c>
      <c r="AJ29" s="130">
        <v>0</v>
      </c>
      <c r="AK29" s="130">
        <v>325.92724451252133</v>
      </c>
      <c r="AL29" s="130">
        <v>0</v>
      </c>
      <c r="AM29" s="138"/>
      <c r="AN29" s="182"/>
      <c r="AO29" s="183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27"/>
      <c r="BK29" s="184"/>
      <c r="BL29" s="184"/>
      <c r="BM29" s="184"/>
      <c r="BN29" s="182"/>
      <c r="BO29" s="182"/>
      <c r="BP29" s="182"/>
      <c r="BQ29" s="185"/>
      <c r="BR29" s="188"/>
      <c r="BS29" s="187"/>
      <c r="BT29" s="187"/>
      <c r="BU29" s="187"/>
      <c r="BV29" s="187"/>
      <c r="BW29" s="187"/>
      <c r="BX29" s="187"/>
      <c r="BY29" s="138"/>
      <c r="BZ29" s="182"/>
      <c r="CA29" s="183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</row>
    <row r="30" spans="1:92" s="181" customFormat="1" ht="10.5" customHeight="1" x14ac:dyDescent="0.25">
      <c r="A30" s="122">
        <v>21</v>
      </c>
      <c r="B30" s="123" t="s">
        <v>361</v>
      </c>
      <c r="C30" s="122" t="s">
        <v>360</v>
      </c>
      <c r="D30" s="124">
        <v>555</v>
      </c>
      <c r="E30" s="125" t="s">
        <v>342</v>
      </c>
      <c r="F30" s="126">
        <v>3.3304999999999998</v>
      </c>
      <c r="G30" s="124">
        <v>33691.829999999994</v>
      </c>
      <c r="H30" s="124">
        <v>33691.829999999994</v>
      </c>
      <c r="I30" s="124">
        <v>27688.17</v>
      </c>
      <c r="J30" s="124">
        <v>1585.21</v>
      </c>
      <c r="K30" s="124">
        <v>0</v>
      </c>
      <c r="L30" s="124">
        <v>311</v>
      </c>
      <c r="M30" s="124">
        <v>5204.37</v>
      </c>
      <c r="N30" s="124">
        <v>0</v>
      </c>
      <c r="O30" s="124">
        <v>785.92000000000007</v>
      </c>
      <c r="P30" s="124">
        <v>0</v>
      </c>
      <c r="Q30" s="124">
        <v>189</v>
      </c>
      <c r="R30" s="124">
        <v>4418.45</v>
      </c>
      <c r="S30" s="124">
        <v>2351.0295115222066</v>
      </c>
      <c r="T30" s="124">
        <v>2172.030150940197</v>
      </c>
      <c r="U30" s="124">
        <v>178.99936058200942</v>
      </c>
      <c r="V30" s="124">
        <v>2016.3143592199999</v>
      </c>
      <c r="W30" s="124">
        <v>62.759396680000002</v>
      </c>
      <c r="X30" s="124">
        <v>290.44335553999986</v>
      </c>
      <c r="Y30" s="124">
        <v>1663.111607</v>
      </c>
      <c r="Z30" s="124">
        <v>1195.8502394300001</v>
      </c>
      <c r="AA30" s="127">
        <v>0.21199999999999999</v>
      </c>
      <c r="AB30" s="128">
        <v>0</v>
      </c>
      <c r="AC30" s="128">
        <v>139000</v>
      </c>
      <c r="AD30" s="128">
        <v>850000</v>
      </c>
      <c r="AE30" s="125" t="s">
        <v>340</v>
      </c>
      <c r="AF30" s="129" t="s">
        <v>464</v>
      </c>
      <c r="AG30" s="130">
        <v>249.1390115010291</v>
      </c>
      <c r="AH30" s="130">
        <v>249.1390115010291</v>
      </c>
      <c r="AI30" s="130">
        <v>0</v>
      </c>
      <c r="AJ30" s="130">
        <v>0</v>
      </c>
      <c r="AK30" s="130">
        <v>0</v>
      </c>
      <c r="AL30" s="130">
        <v>0</v>
      </c>
      <c r="AM30" s="138"/>
      <c r="AN30" s="182"/>
      <c r="AO30" s="183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27"/>
      <c r="BK30" s="184"/>
      <c r="BL30" s="184"/>
      <c r="BM30" s="184"/>
      <c r="BN30" s="182"/>
      <c r="BO30" s="182"/>
      <c r="BP30" s="182"/>
      <c r="BQ30" s="185"/>
      <c r="BR30" s="188"/>
      <c r="BS30" s="187"/>
      <c r="BT30" s="187"/>
      <c r="BU30" s="187"/>
      <c r="BV30" s="187"/>
      <c r="BW30" s="187"/>
      <c r="BX30" s="187"/>
      <c r="BY30" s="138"/>
      <c r="BZ30" s="182"/>
      <c r="CA30" s="183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</row>
    <row r="31" spans="1:92" s="181" customFormat="1" ht="10.5" customHeight="1" x14ac:dyDescent="0.25">
      <c r="A31" s="122">
        <v>22</v>
      </c>
      <c r="B31" s="123" t="s">
        <v>363</v>
      </c>
      <c r="C31" s="122" t="s">
        <v>360</v>
      </c>
      <c r="D31" s="124">
        <v>2916</v>
      </c>
      <c r="E31" s="125" t="s">
        <v>342</v>
      </c>
      <c r="F31" s="126">
        <v>4.7275</v>
      </c>
      <c r="G31" s="124">
        <v>108496.40000000001</v>
      </c>
      <c r="H31" s="124">
        <v>108496.40000000001</v>
      </c>
      <c r="I31" s="124">
        <v>89931.83</v>
      </c>
      <c r="J31" s="124">
        <v>5184.8700000000008</v>
      </c>
      <c r="K31" s="124">
        <v>0</v>
      </c>
      <c r="L31" s="124">
        <v>917</v>
      </c>
      <c r="M31" s="124">
        <v>86668.479999999996</v>
      </c>
      <c r="N31" s="124">
        <v>65327.5</v>
      </c>
      <c r="O31" s="124">
        <v>4900.9800000000005</v>
      </c>
      <c r="P31" s="124">
        <v>0</v>
      </c>
      <c r="Q31" s="124">
        <v>869</v>
      </c>
      <c r="R31" s="124">
        <v>16440</v>
      </c>
      <c r="S31" s="124">
        <v>10165.866019196932</v>
      </c>
      <c r="T31" s="124">
        <v>2947.2487000718247</v>
      </c>
      <c r="U31" s="124">
        <v>7218.6173191251073</v>
      </c>
      <c r="V31" s="124">
        <v>14190.916783342538</v>
      </c>
      <c r="W31" s="124">
        <v>442.36078132</v>
      </c>
      <c r="X31" s="124">
        <v>13274.656088522539</v>
      </c>
      <c r="Y31" s="124">
        <v>473.89991350000003</v>
      </c>
      <c r="Z31" s="124">
        <v>472.28081501000003</v>
      </c>
      <c r="AA31" s="127">
        <v>0.21199999999999999</v>
      </c>
      <c r="AB31" s="128">
        <v>150000</v>
      </c>
      <c r="AC31" s="128">
        <v>190000</v>
      </c>
      <c r="AD31" s="128">
        <v>350000</v>
      </c>
      <c r="AE31" s="125" t="s">
        <v>340</v>
      </c>
      <c r="AF31" s="129" t="s">
        <v>465</v>
      </c>
      <c r="AG31" s="130">
        <v>217.32345403091682</v>
      </c>
      <c r="AH31" s="130">
        <v>217.32345403091682</v>
      </c>
      <c r="AI31" s="130">
        <v>0</v>
      </c>
      <c r="AJ31" s="130">
        <v>0</v>
      </c>
      <c r="AK31" s="130">
        <v>0</v>
      </c>
      <c r="AL31" s="130">
        <v>0</v>
      </c>
      <c r="AM31" s="138"/>
      <c r="AN31" s="182"/>
      <c r="AO31" s="183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27"/>
      <c r="BK31" s="184"/>
      <c r="BL31" s="184"/>
      <c r="BM31" s="184"/>
      <c r="BN31" s="182"/>
      <c r="BO31" s="182"/>
      <c r="BP31" s="182"/>
      <c r="BQ31" s="185"/>
      <c r="BR31" s="188"/>
      <c r="BS31" s="187"/>
      <c r="BT31" s="187"/>
      <c r="BU31" s="187"/>
      <c r="BV31" s="187"/>
      <c r="BW31" s="187"/>
      <c r="BX31" s="187"/>
      <c r="BY31" s="138"/>
      <c r="BZ31" s="182"/>
      <c r="CA31" s="183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</row>
    <row r="32" spans="1:92" s="181" customFormat="1" ht="10.5" customHeight="1" x14ac:dyDescent="0.25">
      <c r="A32" s="122">
        <v>23</v>
      </c>
      <c r="B32" s="123" t="s">
        <v>364</v>
      </c>
      <c r="C32" s="122" t="s">
        <v>360</v>
      </c>
      <c r="D32" s="124">
        <v>1064</v>
      </c>
      <c r="E32" s="125" t="s">
        <v>342</v>
      </c>
      <c r="F32" s="126">
        <v>68.6798</v>
      </c>
      <c r="G32" s="124">
        <v>224001.19999999998</v>
      </c>
      <c r="H32" s="124">
        <v>224001.19999999998</v>
      </c>
      <c r="I32" s="124">
        <v>222715.33999999997</v>
      </c>
      <c r="J32" s="124">
        <v>1285.8599999999999</v>
      </c>
      <c r="K32" s="124">
        <v>0</v>
      </c>
      <c r="L32" s="124">
        <v>0</v>
      </c>
      <c r="M32" s="124">
        <v>223136.45999999996</v>
      </c>
      <c r="N32" s="124">
        <v>221850.59999999998</v>
      </c>
      <c r="O32" s="124">
        <v>1285.8599999999999</v>
      </c>
      <c r="P32" s="124">
        <v>0</v>
      </c>
      <c r="Q32" s="124">
        <v>0</v>
      </c>
      <c r="R32" s="124">
        <v>0</v>
      </c>
      <c r="S32" s="124">
        <v>27639.874218774436</v>
      </c>
      <c r="T32" s="124">
        <v>106.60135784529848</v>
      </c>
      <c r="U32" s="124">
        <v>27533.272860929137</v>
      </c>
      <c r="V32" s="124">
        <v>39907.231768119549</v>
      </c>
      <c r="W32" s="124">
        <v>100.89438</v>
      </c>
      <c r="X32" s="124">
        <v>39806.337388119551</v>
      </c>
      <c r="Y32" s="124">
        <v>0</v>
      </c>
      <c r="Z32" s="124">
        <v>0</v>
      </c>
      <c r="AA32" s="127">
        <v>0.21199999999999999</v>
      </c>
      <c r="AB32" s="128">
        <v>118000</v>
      </c>
      <c r="AC32" s="128">
        <v>100000</v>
      </c>
      <c r="AD32" s="128">
        <v>0</v>
      </c>
      <c r="AE32" s="125" t="s">
        <v>340</v>
      </c>
      <c r="AF32" s="129" t="s">
        <v>466</v>
      </c>
      <c r="AG32" s="130">
        <v>29.356662363474349</v>
      </c>
      <c r="AH32" s="130">
        <v>29.356662363474349</v>
      </c>
      <c r="AI32" s="130">
        <v>0</v>
      </c>
      <c r="AJ32" s="130">
        <v>0</v>
      </c>
      <c r="AK32" s="130">
        <v>0</v>
      </c>
      <c r="AL32" s="130">
        <v>0</v>
      </c>
      <c r="AM32" s="138"/>
      <c r="AN32" s="182"/>
      <c r="AO32" s="183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27"/>
      <c r="BK32" s="184"/>
      <c r="BL32" s="184"/>
      <c r="BM32" s="184"/>
      <c r="BN32" s="182"/>
      <c r="BO32" s="182"/>
      <c r="BP32" s="182"/>
      <c r="BQ32" s="185"/>
      <c r="BR32" s="188"/>
      <c r="BS32" s="187"/>
      <c r="BT32" s="187"/>
      <c r="BU32" s="187"/>
      <c r="BV32" s="187"/>
      <c r="BW32" s="187"/>
      <c r="BX32" s="187"/>
      <c r="BY32" s="138"/>
      <c r="BZ32" s="182"/>
      <c r="CA32" s="183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</row>
    <row r="33" spans="1:92" s="181" customFormat="1" ht="10.5" customHeight="1" x14ac:dyDescent="0.25">
      <c r="A33" s="172"/>
      <c r="B33" s="119" t="s">
        <v>467</v>
      </c>
      <c r="C33" s="172"/>
      <c r="D33" s="171"/>
      <c r="E33" s="172"/>
      <c r="F33" s="172"/>
      <c r="G33" s="172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71"/>
      <c r="T33" s="171"/>
      <c r="U33" s="171"/>
      <c r="V33" s="171"/>
      <c r="W33" s="171"/>
      <c r="X33" s="171"/>
      <c r="Y33" s="171"/>
      <c r="Z33" s="171"/>
      <c r="AA33" s="171"/>
      <c r="AB33" s="120"/>
      <c r="AC33" s="120"/>
      <c r="AD33" s="120"/>
      <c r="AE33" s="171"/>
      <c r="AF33" s="171"/>
      <c r="AG33" s="171"/>
      <c r="AH33" s="171"/>
      <c r="AI33" s="121"/>
      <c r="AJ33" s="121"/>
      <c r="AK33" s="121"/>
      <c r="AL33" s="121"/>
      <c r="AM33" s="175"/>
      <c r="AN33" s="176"/>
      <c r="AO33" s="176"/>
      <c r="AP33" s="176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5"/>
      <c r="BC33" s="175"/>
      <c r="BD33" s="175"/>
      <c r="BE33" s="175"/>
      <c r="BF33" s="175"/>
      <c r="BG33" s="175"/>
      <c r="BH33" s="175"/>
      <c r="BI33" s="175"/>
      <c r="BJ33" s="175"/>
      <c r="BK33" s="178"/>
      <c r="BL33" s="178"/>
      <c r="BM33" s="178"/>
      <c r="BN33" s="175"/>
      <c r="BO33" s="179"/>
      <c r="BP33" s="179"/>
      <c r="BQ33" s="179"/>
      <c r="BR33" s="175"/>
      <c r="BS33" s="175"/>
      <c r="BT33" s="175"/>
      <c r="BU33" s="180"/>
      <c r="BV33" s="180"/>
      <c r="BW33" s="180"/>
      <c r="BX33" s="180"/>
      <c r="BY33" s="175"/>
      <c r="BZ33" s="176"/>
      <c r="CA33" s="176"/>
      <c r="CB33" s="176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5"/>
    </row>
    <row r="34" spans="1:92" s="181" customFormat="1" ht="10.5" customHeight="1" x14ac:dyDescent="0.25">
      <c r="A34" s="122">
        <v>24</v>
      </c>
      <c r="B34" s="123" t="s">
        <v>300</v>
      </c>
      <c r="C34" s="122" t="s">
        <v>299</v>
      </c>
      <c r="D34" s="124">
        <v>1100</v>
      </c>
      <c r="E34" s="125" t="s">
        <v>342</v>
      </c>
      <c r="F34" s="126">
        <v>11.652799999999999</v>
      </c>
      <c r="G34" s="124">
        <v>218542</v>
      </c>
      <c r="H34" s="124">
        <v>109271</v>
      </c>
      <c r="I34" s="124">
        <v>79247</v>
      </c>
      <c r="J34" s="124">
        <v>5754</v>
      </c>
      <c r="K34" s="124">
        <v>0</v>
      </c>
      <c r="L34" s="124">
        <v>809</v>
      </c>
      <c r="M34" s="124">
        <v>82334.569999999978</v>
      </c>
      <c r="N34" s="124">
        <v>60622.079999999987</v>
      </c>
      <c r="O34" s="124">
        <v>3682.49</v>
      </c>
      <c r="P34" s="124">
        <v>0</v>
      </c>
      <c r="Q34" s="124">
        <v>601</v>
      </c>
      <c r="R34" s="124">
        <v>18030</v>
      </c>
      <c r="S34" s="124">
        <v>7747.6148555168502</v>
      </c>
      <c r="T34" s="124">
        <v>2173.3739753305399</v>
      </c>
      <c r="U34" s="124">
        <v>5574.2408801863103</v>
      </c>
      <c r="V34" s="124">
        <v>11643.983097244962</v>
      </c>
      <c r="W34" s="124" t="s">
        <v>418</v>
      </c>
      <c r="X34" s="124">
        <v>11643.983097244962</v>
      </c>
      <c r="Y34" s="124" t="s">
        <v>418</v>
      </c>
      <c r="Z34" s="124">
        <v>2363.7532704055357</v>
      </c>
      <c r="AA34" s="127">
        <v>0.21199999999999999</v>
      </c>
      <c r="AB34" s="128">
        <v>120000</v>
      </c>
      <c r="AC34" s="128">
        <v>150000</v>
      </c>
      <c r="AD34" s="128">
        <v>330000</v>
      </c>
      <c r="AE34" s="125" t="s">
        <v>340</v>
      </c>
      <c r="AF34" s="129" t="s">
        <v>468</v>
      </c>
      <c r="AG34" s="130" t="s">
        <v>418</v>
      </c>
      <c r="AH34" s="130" t="s">
        <v>418</v>
      </c>
      <c r="AI34" s="130" t="s">
        <v>418</v>
      </c>
      <c r="AJ34" s="130" t="s">
        <v>418</v>
      </c>
      <c r="AK34" s="130" t="s">
        <v>418</v>
      </c>
      <c r="AL34" s="130" t="s">
        <v>418</v>
      </c>
      <c r="AM34" s="138"/>
      <c r="AN34" s="182"/>
      <c r="AO34" s="183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27"/>
      <c r="BK34" s="184"/>
      <c r="BL34" s="184"/>
      <c r="BM34" s="184"/>
      <c r="BN34" s="182"/>
      <c r="BO34" s="182"/>
      <c r="BP34" s="182"/>
      <c r="BQ34" s="185"/>
      <c r="BR34" s="188"/>
      <c r="BS34" s="187"/>
      <c r="BT34" s="187"/>
      <c r="BU34" s="187"/>
      <c r="BV34" s="187"/>
      <c r="BW34" s="187"/>
      <c r="BX34" s="187"/>
      <c r="BY34" s="138"/>
      <c r="BZ34" s="182"/>
      <c r="CA34" s="183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</row>
    <row r="35" spans="1:92" s="181" customFormat="1" ht="10.5" customHeight="1" x14ac:dyDescent="0.25">
      <c r="A35" s="122">
        <v>25</v>
      </c>
      <c r="B35" s="123" t="s">
        <v>414</v>
      </c>
      <c r="C35" s="122" t="s">
        <v>299</v>
      </c>
      <c r="D35" s="124">
        <v>1037</v>
      </c>
      <c r="E35" s="125" t="s">
        <v>342</v>
      </c>
      <c r="F35" s="126">
        <v>37.700000000000003</v>
      </c>
      <c r="G35" s="124">
        <v>58092.3</v>
      </c>
      <c r="H35" s="124">
        <v>58092.3</v>
      </c>
      <c r="I35" s="124">
        <v>45159.8</v>
      </c>
      <c r="J35" s="124">
        <v>3350</v>
      </c>
      <c r="K35" s="124">
        <v>0</v>
      </c>
      <c r="L35" s="124">
        <v>722</v>
      </c>
      <c r="M35" s="124">
        <v>11532.399999999998</v>
      </c>
      <c r="N35" s="124">
        <v>708.29999999999836</v>
      </c>
      <c r="O35" s="124">
        <v>564.09999999999991</v>
      </c>
      <c r="P35" s="124">
        <v>0</v>
      </c>
      <c r="Q35" s="124">
        <v>342</v>
      </c>
      <c r="R35" s="124">
        <v>10260</v>
      </c>
      <c r="S35" s="124">
        <v>4630.2402356077637</v>
      </c>
      <c r="T35" s="124">
        <v>3578.4058137190259</v>
      </c>
      <c r="U35" s="124">
        <v>1051.8344218887378</v>
      </c>
      <c r="V35" s="124">
        <v>4649.9258163792001</v>
      </c>
      <c r="W35" s="124">
        <v>421.76155827999997</v>
      </c>
      <c r="X35" s="124">
        <v>540.23950988920024</v>
      </c>
      <c r="Y35" s="124">
        <v>3687.92474821</v>
      </c>
      <c r="Z35" s="124">
        <v>2359.6567976700003</v>
      </c>
      <c r="AA35" s="127">
        <v>0.21199999999999999</v>
      </c>
      <c r="AB35" s="128">
        <v>162000</v>
      </c>
      <c r="AC35" s="128">
        <v>248000</v>
      </c>
      <c r="AD35" s="128">
        <v>690000</v>
      </c>
      <c r="AE35" s="125" t="s">
        <v>340</v>
      </c>
      <c r="AF35" s="122">
        <v>2025</v>
      </c>
      <c r="AG35" s="130">
        <v>409.60267618169672</v>
      </c>
      <c r="AH35" s="130">
        <v>409.60267618169672</v>
      </c>
      <c r="AI35" s="130">
        <v>0</v>
      </c>
      <c r="AJ35" s="130">
        <v>0</v>
      </c>
      <c r="AK35" s="130">
        <v>0</v>
      </c>
      <c r="AL35" s="130">
        <v>0</v>
      </c>
      <c r="AM35" s="138"/>
      <c r="AN35" s="182"/>
      <c r="AO35" s="183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27"/>
      <c r="BK35" s="184"/>
      <c r="BL35" s="184"/>
      <c r="BM35" s="184"/>
      <c r="BN35" s="182"/>
      <c r="BO35" s="182"/>
      <c r="BP35" s="182"/>
      <c r="BQ35" s="185"/>
      <c r="BR35" s="186"/>
      <c r="BS35" s="187"/>
      <c r="BT35" s="187"/>
      <c r="BU35" s="187"/>
      <c r="BV35" s="187"/>
      <c r="BW35" s="187"/>
      <c r="BX35" s="187"/>
      <c r="BY35" s="138"/>
      <c r="BZ35" s="182"/>
      <c r="CA35" s="183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</row>
    <row r="36" spans="1:92" s="181" customFormat="1" ht="10.5" customHeight="1" x14ac:dyDescent="0.25">
      <c r="A36" s="172"/>
      <c r="B36" s="119" t="s">
        <v>469</v>
      </c>
      <c r="C36" s="172"/>
      <c r="D36" s="171"/>
      <c r="E36" s="172"/>
      <c r="F36" s="172"/>
      <c r="G36" s="172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71"/>
      <c r="T36" s="171"/>
      <c r="U36" s="171"/>
      <c r="V36" s="171"/>
      <c r="W36" s="171"/>
      <c r="X36" s="171"/>
      <c r="Y36" s="171"/>
      <c r="Z36" s="171"/>
      <c r="AA36" s="171"/>
      <c r="AB36" s="120"/>
      <c r="AC36" s="120"/>
      <c r="AD36" s="120"/>
      <c r="AE36" s="171"/>
      <c r="AF36" s="171"/>
      <c r="AG36" s="171"/>
      <c r="AH36" s="171"/>
      <c r="AI36" s="121"/>
      <c r="AJ36" s="121"/>
      <c r="AK36" s="121"/>
      <c r="AL36" s="121"/>
      <c r="AM36" s="175"/>
      <c r="AN36" s="176"/>
      <c r="AO36" s="176"/>
      <c r="AP36" s="176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5"/>
      <c r="BC36" s="175"/>
      <c r="BD36" s="175"/>
      <c r="BE36" s="175"/>
      <c r="BF36" s="175"/>
      <c r="BG36" s="175"/>
      <c r="BH36" s="175"/>
      <c r="BI36" s="175"/>
      <c r="BJ36" s="175"/>
      <c r="BK36" s="178"/>
      <c r="BL36" s="178"/>
      <c r="BM36" s="178"/>
      <c r="BN36" s="175"/>
      <c r="BO36" s="179"/>
      <c r="BP36" s="179"/>
      <c r="BQ36" s="179"/>
      <c r="BR36" s="175"/>
      <c r="BS36" s="175"/>
      <c r="BT36" s="175"/>
      <c r="BU36" s="180"/>
      <c r="BV36" s="180"/>
      <c r="BW36" s="180"/>
      <c r="BX36" s="180"/>
      <c r="BY36" s="175"/>
      <c r="BZ36" s="176"/>
      <c r="CA36" s="176"/>
      <c r="CB36" s="176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5"/>
    </row>
    <row r="37" spans="1:92" s="181" customFormat="1" ht="10.5" customHeight="1" x14ac:dyDescent="0.25">
      <c r="A37" s="122">
        <v>26</v>
      </c>
      <c r="B37" s="123" t="s">
        <v>365</v>
      </c>
      <c r="C37" s="122" t="s">
        <v>366</v>
      </c>
      <c r="D37" s="124">
        <v>4867</v>
      </c>
      <c r="E37" s="125" t="s">
        <v>342</v>
      </c>
      <c r="F37" s="126">
        <v>43.8</v>
      </c>
      <c r="G37" s="124">
        <v>60317.36</v>
      </c>
      <c r="H37" s="124">
        <v>56062.36</v>
      </c>
      <c r="I37" s="124">
        <v>45059.159999999996</v>
      </c>
      <c r="J37" s="124">
        <v>3356.3500000000004</v>
      </c>
      <c r="K37" s="124">
        <v>0</v>
      </c>
      <c r="L37" s="124">
        <v>530</v>
      </c>
      <c r="M37" s="124">
        <v>30248.129999999997</v>
      </c>
      <c r="N37" s="124">
        <v>20177.28</v>
      </c>
      <c r="O37" s="124">
        <v>2010.85</v>
      </c>
      <c r="P37" s="124">
        <v>0</v>
      </c>
      <c r="Q37" s="124">
        <v>491</v>
      </c>
      <c r="R37" s="124">
        <v>8060</v>
      </c>
      <c r="S37" s="124">
        <v>8754.7039777679056</v>
      </c>
      <c r="T37" s="124">
        <v>2045.236930464047</v>
      </c>
      <c r="U37" s="124">
        <v>6709.4670473038586</v>
      </c>
      <c r="V37" s="124">
        <v>15304.486353405273</v>
      </c>
      <c r="W37" s="124">
        <v>3142.41059387</v>
      </c>
      <c r="X37" s="124">
        <v>8344.6621384052742</v>
      </c>
      <c r="Y37" s="124">
        <v>3817.4136211300001</v>
      </c>
      <c r="Z37" s="124">
        <v>2500.1625213800003</v>
      </c>
      <c r="AA37" s="127">
        <v>0.21199999999999999</v>
      </c>
      <c r="AB37" s="128">
        <v>306000</v>
      </c>
      <c r="AC37" s="128">
        <v>325000</v>
      </c>
      <c r="AD37" s="128">
        <v>1800000</v>
      </c>
      <c r="AE37" s="125" t="s">
        <v>340</v>
      </c>
      <c r="AF37" s="129" t="s">
        <v>470</v>
      </c>
      <c r="AG37" s="130">
        <v>392.851</v>
      </c>
      <c r="AH37" s="130">
        <v>392.851</v>
      </c>
      <c r="AI37" s="130">
        <v>0</v>
      </c>
      <c r="AJ37" s="130">
        <v>0</v>
      </c>
      <c r="AK37" s="130">
        <v>0</v>
      </c>
      <c r="AL37" s="130">
        <v>0</v>
      </c>
      <c r="AM37" s="138"/>
      <c r="AN37" s="182"/>
      <c r="AO37" s="183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27"/>
      <c r="BK37" s="184"/>
      <c r="BL37" s="184"/>
      <c r="BM37" s="184"/>
      <c r="BN37" s="182"/>
      <c r="BO37" s="182"/>
      <c r="BP37" s="182"/>
      <c r="BQ37" s="185"/>
      <c r="BR37" s="188"/>
      <c r="BS37" s="187"/>
      <c r="BT37" s="187"/>
      <c r="BU37" s="187"/>
      <c r="BV37" s="187"/>
      <c r="BW37" s="187"/>
      <c r="BX37" s="187"/>
      <c r="BY37" s="138"/>
      <c r="BZ37" s="182"/>
      <c r="CA37" s="183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</row>
    <row r="38" spans="1:92" s="181" customFormat="1" ht="10.5" customHeight="1" x14ac:dyDescent="0.25">
      <c r="A38" s="122">
        <v>27</v>
      </c>
      <c r="B38" s="123" t="s">
        <v>367</v>
      </c>
      <c r="C38" s="122" t="s">
        <v>366</v>
      </c>
      <c r="D38" s="124">
        <v>2154</v>
      </c>
      <c r="E38" s="125" t="s">
        <v>342</v>
      </c>
      <c r="F38" s="126">
        <v>1.7291000000000001</v>
      </c>
      <c r="G38" s="124">
        <v>30808.84</v>
      </c>
      <c r="H38" s="124">
        <v>30768.04</v>
      </c>
      <c r="I38" s="124">
        <v>21656.1</v>
      </c>
      <c r="J38" s="124">
        <v>4910.66</v>
      </c>
      <c r="K38" s="124">
        <v>0</v>
      </c>
      <c r="L38" s="124">
        <v>310</v>
      </c>
      <c r="M38" s="124">
        <v>8494.59</v>
      </c>
      <c r="N38" s="124">
        <v>2074.1899999999996</v>
      </c>
      <c r="O38" s="124">
        <v>2010.4</v>
      </c>
      <c r="P38" s="124">
        <v>0</v>
      </c>
      <c r="Q38" s="124">
        <v>147</v>
      </c>
      <c r="R38" s="124">
        <v>4410</v>
      </c>
      <c r="S38" s="124">
        <v>3235.3946453061071</v>
      </c>
      <c r="T38" s="124">
        <v>1878.3955148205478</v>
      </c>
      <c r="U38" s="124">
        <v>1356.9991304855594</v>
      </c>
      <c r="V38" s="124">
        <v>5169.5935460296796</v>
      </c>
      <c r="W38" s="124">
        <v>1772.31159452</v>
      </c>
      <c r="X38" s="124">
        <v>2145.0108780296796</v>
      </c>
      <c r="Y38" s="124">
        <v>1252.27107348</v>
      </c>
      <c r="Z38" s="124">
        <v>787.89685284999996</v>
      </c>
      <c r="AA38" s="127">
        <v>0.21199999999999999</v>
      </c>
      <c r="AB38" s="128">
        <v>350000</v>
      </c>
      <c r="AC38" s="128">
        <v>450000</v>
      </c>
      <c r="AD38" s="128">
        <v>2300000</v>
      </c>
      <c r="AE38" s="125" t="s">
        <v>340</v>
      </c>
      <c r="AF38" s="129" t="s">
        <v>368</v>
      </c>
      <c r="AG38" s="130">
        <v>281.0508145442966</v>
      </c>
      <c r="AH38" s="130">
        <v>248.0508145442966</v>
      </c>
      <c r="AI38" s="130">
        <v>33</v>
      </c>
      <c r="AJ38" s="130">
        <v>0</v>
      </c>
      <c r="AK38" s="130">
        <v>29.975237304901338</v>
      </c>
      <c r="AL38" s="130">
        <v>0</v>
      </c>
      <c r="AM38" s="138"/>
      <c r="AN38" s="182"/>
      <c r="AO38" s="183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27"/>
      <c r="BK38" s="184"/>
      <c r="BL38" s="184"/>
      <c r="BM38" s="184"/>
      <c r="BN38" s="182"/>
      <c r="BO38" s="182"/>
      <c r="BP38" s="182"/>
      <c r="BQ38" s="185"/>
      <c r="BR38" s="188"/>
      <c r="BS38" s="187"/>
      <c r="BT38" s="187"/>
      <c r="BU38" s="187"/>
      <c r="BV38" s="187"/>
      <c r="BW38" s="187"/>
      <c r="BX38" s="187"/>
      <c r="BY38" s="138"/>
      <c r="BZ38" s="182"/>
      <c r="CA38" s="183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</row>
    <row r="39" spans="1:92" s="181" customFormat="1" ht="10.5" customHeight="1" x14ac:dyDescent="0.25">
      <c r="A39" s="133"/>
      <c r="B39" s="159" t="s">
        <v>471</v>
      </c>
      <c r="C39" s="133"/>
      <c r="D39" s="135">
        <v>68050</v>
      </c>
      <c r="E39" s="135"/>
      <c r="F39" s="135"/>
      <c r="G39" s="135">
        <v>4209601.6700000009</v>
      </c>
      <c r="H39" s="135">
        <v>3821912.7206965024</v>
      </c>
      <c r="I39" s="135">
        <v>3263566.7506965022</v>
      </c>
      <c r="J39" s="135">
        <v>227547.09000000003</v>
      </c>
      <c r="K39" s="135">
        <v>1500</v>
      </c>
      <c r="L39" s="135">
        <v>21461</v>
      </c>
      <c r="M39" s="135">
        <v>3381609.3506965013</v>
      </c>
      <c r="N39" s="135">
        <v>2849442.3906965018</v>
      </c>
      <c r="O39" s="135">
        <v>203596.81000000003</v>
      </c>
      <c r="P39" s="135">
        <v>0</v>
      </c>
      <c r="Q39" s="135">
        <v>20165</v>
      </c>
      <c r="R39" s="135">
        <v>328570.15000000002</v>
      </c>
      <c r="S39" s="135">
        <v>470185.32257280429</v>
      </c>
      <c r="T39" s="135">
        <v>40304.357175977646</v>
      </c>
      <c r="U39" s="135">
        <v>429880.96539682668</v>
      </c>
      <c r="V39" s="135">
        <v>684098.77892676275</v>
      </c>
      <c r="W39" s="135">
        <v>13335.13375194</v>
      </c>
      <c r="X39" s="135">
        <v>636387.09654737276</v>
      </c>
      <c r="Y39" s="135">
        <v>34376.54862745</v>
      </c>
      <c r="Z39" s="135">
        <v>28541.978243125537</v>
      </c>
      <c r="AA39" s="136"/>
      <c r="AB39" s="135"/>
      <c r="AC39" s="135"/>
      <c r="AD39" s="135"/>
      <c r="AE39" s="136"/>
      <c r="AF39" s="136"/>
      <c r="AG39" s="137">
        <v>13493.128337638955</v>
      </c>
      <c r="AH39" s="137">
        <v>12362.604362150028</v>
      </c>
      <c r="AI39" s="137">
        <v>1130.5239754889262</v>
      </c>
      <c r="AJ39" s="137">
        <v>0</v>
      </c>
      <c r="AK39" s="137">
        <v>367.83640669273859</v>
      </c>
      <c r="AL39" s="137">
        <v>0</v>
      </c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91"/>
      <c r="BK39" s="189"/>
      <c r="BL39" s="189"/>
      <c r="BM39" s="189"/>
      <c r="BN39" s="191"/>
      <c r="BO39" s="191"/>
      <c r="BP39" s="191"/>
      <c r="BQ39" s="191"/>
      <c r="BR39" s="191"/>
      <c r="BS39" s="192"/>
      <c r="BT39" s="192"/>
      <c r="BU39" s="192"/>
      <c r="BV39" s="192"/>
      <c r="BW39" s="192"/>
      <c r="BX39" s="192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</row>
    <row r="40" spans="1:92" s="181" customFormat="1" ht="10.5" customHeight="1" x14ac:dyDescent="0.25">
      <c r="A40" s="172"/>
      <c r="B40" s="119" t="s">
        <v>370</v>
      </c>
      <c r="C40" s="172"/>
      <c r="D40" s="171"/>
      <c r="E40" s="172"/>
      <c r="F40" s="172"/>
      <c r="G40" s="172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71"/>
      <c r="T40" s="171"/>
      <c r="U40" s="171"/>
      <c r="V40" s="171"/>
      <c r="W40" s="171"/>
      <c r="X40" s="171"/>
      <c r="Y40" s="171"/>
      <c r="Z40" s="171"/>
      <c r="AA40" s="171"/>
      <c r="AB40" s="120"/>
      <c r="AC40" s="120"/>
      <c r="AD40" s="120"/>
      <c r="AE40" s="171"/>
      <c r="AF40" s="171"/>
      <c r="AG40" s="171"/>
      <c r="AH40" s="171"/>
      <c r="AI40" s="121"/>
      <c r="AJ40" s="121"/>
      <c r="AK40" s="121"/>
      <c r="AL40" s="121"/>
      <c r="AM40" s="175"/>
      <c r="AN40" s="176"/>
      <c r="AO40" s="176"/>
      <c r="AP40" s="176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5"/>
      <c r="BC40" s="175"/>
      <c r="BD40" s="175"/>
      <c r="BE40" s="175"/>
      <c r="BF40" s="175"/>
      <c r="BG40" s="175"/>
      <c r="BH40" s="175"/>
      <c r="BI40" s="175"/>
      <c r="BJ40" s="175"/>
      <c r="BK40" s="178"/>
      <c r="BL40" s="178"/>
      <c r="BM40" s="178"/>
      <c r="BN40" s="175"/>
      <c r="BO40" s="179"/>
      <c r="BP40" s="179"/>
      <c r="BQ40" s="179"/>
      <c r="BR40" s="175"/>
      <c r="BS40" s="175"/>
      <c r="BT40" s="175"/>
      <c r="BU40" s="180"/>
      <c r="BV40" s="180"/>
      <c r="BW40" s="180"/>
      <c r="BX40" s="180"/>
      <c r="BY40" s="175"/>
      <c r="BZ40" s="176"/>
      <c r="CA40" s="176"/>
      <c r="CB40" s="176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5"/>
    </row>
    <row r="41" spans="1:92" s="181" customFormat="1" ht="10.5" customHeight="1" x14ac:dyDescent="0.25">
      <c r="A41" s="122">
        <v>28</v>
      </c>
      <c r="B41" s="123" t="s">
        <v>113</v>
      </c>
      <c r="C41" s="122" t="s">
        <v>92</v>
      </c>
      <c r="D41" s="124">
        <v>3142</v>
      </c>
      <c r="E41" s="125" t="s">
        <v>342</v>
      </c>
      <c r="F41" s="126">
        <v>7.7</v>
      </c>
      <c r="G41" s="124">
        <v>189032.59999999998</v>
      </c>
      <c r="H41" s="124">
        <v>189032.59999999998</v>
      </c>
      <c r="I41" s="124">
        <v>136426.9</v>
      </c>
      <c r="J41" s="124">
        <v>26369.4</v>
      </c>
      <c r="K41" s="124">
        <v>0</v>
      </c>
      <c r="L41" s="124">
        <v>1953</v>
      </c>
      <c r="M41" s="124">
        <v>15810.8</v>
      </c>
      <c r="N41" s="124">
        <v>0</v>
      </c>
      <c r="O41" s="124">
        <v>14340.8</v>
      </c>
      <c r="P41" s="124">
        <v>0</v>
      </c>
      <c r="Q41" s="124">
        <v>49</v>
      </c>
      <c r="R41" s="124">
        <v>1470</v>
      </c>
      <c r="S41" s="124">
        <v>20765.890386752832</v>
      </c>
      <c r="T41" s="124">
        <v>20407.710928462831</v>
      </c>
      <c r="U41" s="124">
        <v>358.17945828999984</v>
      </c>
      <c r="V41" s="124">
        <v>4239.8496828200005</v>
      </c>
      <c r="W41" s="124">
        <v>1382.6095928199998</v>
      </c>
      <c r="X41" s="124">
        <v>2857.2400900000007</v>
      </c>
      <c r="Y41" s="124">
        <v>0</v>
      </c>
      <c r="Z41" s="124">
        <v>0</v>
      </c>
      <c r="AA41" s="127">
        <v>0.188</v>
      </c>
      <c r="AB41" s="128">
        <v>0</v>
      </c>
      <c r="AC41" s="128">
        <v>220000</v>
      </c>
      <c r="AD41" s="128">
        <v>1750000</v>
      </c>
      <c r="AE41" s="125" t="s">
        <v>352</v>
      </c>
      <c r="AF41" s="129" t="s">
        <v>472</v>
      </c>
      <c r="AG41" s="130">
        <v>6349.9172447844721</v>
      </c>
      <c r="AH41" s="130">
        <v>6349.9172447844721</v>
      </c>
      <c r="AI41" s="130">
        <v>0</v>
      </c>
      <c r="AJ41" s="130">
        <v>0</v>
      </c>
      <c r="AK41" s="130">
        <v>0</v>
      </c>
      <c r="AL41" s="130">
        <v>0</v>
      </c>
      <c r="AM41" s="138"/>
      <c r="AN41" s="182"/>
      <c r="AO41" s="183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27"/>
      <c r="BK41" s="184"/>
      <c r="BL41" s="184"/>
      <c r="BM41" s="184"/>
      <c r="BN41" s="182"/>
      <c r="BO41" s="182"/>
      <c r="BP41" s="182"/>
      <c r="BQ41" s="185"/>
      <c r="BR41" s="188"/>
      <c r="BS41" s="187"/>
      <c r="BT41" s="187"/>
      <c r="BU41" s="187"/>
      <c r="BV41" s="187"/>
      <c r="BW41" s="187"/>
      <c r="BX41" s="187"/>
      <c r="BY41" s="138"/>
      <c r="BZ41" s="182"/>
      <c r="CA41" s="183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</row>
    <row r="42" spans="1:92" s="181" customFormat="1" ht="10.5" customHeight="1" x14ac:dyDescent="0.25">
      <c r="A42" s="122">
        <v>29</v>
      </c>
      <c r="B42" s="123" t="s">
        <v>348</v>
      </c>
      <c r="C42" s="122" t="s">
        <v>343</v>
      </c>
      <c r="D42" s="124">
        <v>1323</v>
      </c>
      <c r="E42" s="125" t="s">
        <v>339</v>
      </c>
      <c r="F42" s="126">
        <v>2.8117000000000001</v>
      </c>
      <c r="G42" s="124">
        <v>46935.759999999995</v>
      </c>
      <c r="H42" s="124">
        <v>46935.759999999995</v>
      </c>
      <c r="I42" s="124">
        <v>31833.260000000002</v>
      </c>
      <c r="J42" s="124">
        <v>3102.5</v>
      </c>
      <c r="K42" s="124">
        <v>0</v>
      </c>
      <c r="L42" s="124">
        <v>400</v>
      </c>
      <c r="M42" s="124">
        <v>8981.2000000000007</v>
      </c>
      <c r="N42" s="124">
        <v>5440.5</v>
      </c>
      <c r="O42" s="124">
        <v>1020.7</v>
      </c>
      <c r="P42" s="124">
        <v>0</v>
      </c>
      <c r="Q42" s="124">
        <v>84</v>
      </c>
      <c r="R42" s="124">
        <v>2520</v>
      </c>
      <c r="S42" s="124">
        <v>2964.9687834799001</v>
      </c>
      <c r="T42" s="124">
        <v>2838.6715816995666</v>
      </c>
      <c r="U42" s="124">
        <v>126.29720178033332</v>
      </c>
      <c r="V42" s="124">
        <v>1611.6379596866668</v>
      </c>
      <c r="W42" s="124">
        <v>367.11670351999999</v>
      </c>
      <c r="X42" s="124">
        <v>1244.5212561666667</v>
      </c>
      <c r="Y42" s="124">
        <v>0</v>
      </c>
      <c r="Z42" s="124">
        <v>0</v>
      </c>
      <c r="AA42" s="127">
        <v>0.188</v>
      </c>
      <c r="AB42" s="128">
        <v>200000</v>
      </c>
      <c r="AC42" s="128">
        <v>79000</v>
      </c>
      <c r="AD42" s="128">
        <v>250000</v>
      </c>
      <c r="AE42" s="125" t="s">
        <v>352</v>
      </c>
      <c r="AF42" s="129" t="s">
        <v>473</v>
      </c>
      <c r="AG42" s="130">
        <v>146.78194543983997</v>
      </c>
      <c r="AH42" s="130">
        <v>146.78194543983997</v>
      </c>
      <c r="AI42" s="130">
        <v>0</v>
      </c>
      <c r="AJ42" s="130">
        <v>0</v>
      </c>
      <c r="AK42" s="130">
        <v>0</v>
      </c>
      <c r="AL42" s="130">
        <v>0</v>
      </c>
      <c r="AM42" s="138"/>
      <c r="AN42" s="182"/>
      <c r="AO42" s="183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27"/>
      <c r="BK42" s="184"/>
      <c r="BL42" s="184"/>
      <c r="BM42" s="184"/>
      <c r="BN42" s="182"/>
      <c r="BO42" s="182"/>
      <c r="BP42" s="182"/>
      <c r="BQ42" s="185"/>
      <c r="BR42" s="188"/>
      <c r="BS42" s="187"/>
      <c r="BT42" s="187"/>
      <c r="BU42" s="187"/>
      <c r="BV42" s="187"/>
      <c r="BW42" s="187"/>
      <c r="BX42" s="187"/>
      <c r="BY42" s="138"/>
      <c r="BZ42" s="182"/>
      <c r="CA42" s="183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</row>
    <row r="43" spans="1:92" s="181" customFormat="1" ht="10.5" customHeight="1" x14ac:dyDescent="0.25">
      <c r="A43" s="122">
        <v>30</v>
      </c>
      <c r="B43" s="123" t="s">
        <v>103</v>
      </c>
      <c r="C43" s="122" t="s">
        <v>92</v>
      </c>
      <c r="D43" s="124">
        <v>343</v>
      </c>
      <c r="E43" s="125" t="s">
        <v>339</v>
      </c>
      <c r="F43" s="126">
        <v>14.9</v>
      </c>
      <c r="G43" s="124">
        <v>297936.40000000002</v>
      </c>
      <c r="H43" s="124">
        <v>257556.2</v>
      </c>
      <c r="I43" s="124">
        <v>202412.80000000002</v>
      </c>
      <c r="J43" s="124">
        <v>18978.400000000001</v>
      </c>
      <c r="K43" s="124">
        <v>0</v>
      </c>
      <c r="L43" s="124">
        <v>2236</v>
      </c>
      <c r="M43" s="124">
        <v>446.7</v>
      </c>
      <c r="N43" s="124">
        <v>0</v>
      </c>
      <c r="O43" s="124">
        <v>416.7</v>
      </c>
      <c r="P43" s="124">
        <v>0</v>
      </c>
      <c r="Q43" s="124">
        <v>1</v>
      </c>
      <c r="R43" s="124">
        <v>30</v>
      </c>
      <c r="S43" s="124">
        <v>0</v>
      </c>
      <c r="T43" s="124">
        <v>0</v>
      </c>
      <c r="U43" s="124">
        <v>0</v>
      </c>
      <c r="V43" s="124">
        <v>499.44220576333333</v>
      </c>
      <c r="W43" s="124">
        <v>413.91965743000003</v>
      </c>
      <c r="X43" s="124">
        <v>85.522548333333305</v>
      </c>
      <c r="Y43" s="124">
        <v>0</v>
      </c>
      <c r="Z43" s="124">
        <v>0</v>
      </c>
      <c r="AA43" s="127">
        <v>0.188</v>
      </c>
      <c r="AB43" s="128">
        <v>0</v>
      </c>
      <c r="AC43" s="128">
        <v>230000</v>
      </c>
      <c r="AD43" s="128">
        <v>1160000</v>
      </c>
      <c r="AE43" s="125" t="s">
        <v>352</v>
      </c>
      <c r="AF43" s="129" t="s">
        <v>371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8"/>
      <c r="AN43" s="182"/>
      <c r="AO43" s="183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27"/>
      <c r="BK43" s="184"/>
      <c r="BL43" s="184"/>
      <c r="BM43" s="184"/>
      <c r="BN43" s="182"/>
      <c r="BO43" s="182"/>
      <c r="BP43" s="182"/>
      <c r="BQ43" s="185"/>
      <c r="BR43" s="188"/>
      <c r="BS43" s="187"/>
      <c r="BT43" s="187"/>
      <c r="BU43" s="187"/>
      <c r="BV43" s="187"/>
      <c r="BW43" s="187"/>
      <c r="BX43" s="187"/>
      <c r="BY43" s="138"/>
      <c r="BZ43" s="182"/>
      <c r="CA43" s="183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</row>
    <row r="44" spans="1:92" s="181" customFormat="1" ht="10.5" customHeight="1" x14ac:dyDescent="0.25">
      <c r="A44" s="122">
        <v>31</v>
      </c>
      <c r="B44" s="123" t="s">
        <v>373</v>
      </c>
      <c r="C44" s="122" t="s">
        <v>92</v>
      </c>
      <c r="D44" s="124">
        <v>262</v>
      </c>
      <c r="E44" s="125" t="s">
        <v>339</v>
      </c>
      <c r="F44" s="126" t="s">
        <v>94</v>
      </c>
      <c r="G44" s="124">
        <v>13440</v>
      </c>
      <c r="H44" s="124">
        <v>13440</v>
      </c>
      <c r="I44" s="124">
        <v>0</v>
      </c>
      <c r="J44" s="124">
        <v>0</v>
      </c>
      <c r="K44" s="124">
        <v>0</v>
      </c>
      <c r="L44" s="124">
        <v>448</v>
      </c>
      <c r="M44" s="124">
        <v>8010</v>
      </c>
      <c r="N44" s="124">
        <v>0</v>
      </c>
      <c r="O44" s="124">
        <v>0</v>
      </c>
      <c r="P44" s="124">
        <v>0</v>
      </c>
      <c r="Q44" s="124">
        <v>267</v>
      </c>
      <c r="R44" s="124">
        <v>8010</v>
      </c>
      <c r="S44" s="124">
        <v>0</v>
      </c>
      <c r="T44" s="124">
        <v>0</v>
      </c>
      <c r="U44" s="124">
        <v>0</v>
      </c>
      <c r="V44" s="124">
        <v>356.92572600000005</v>
      </c>
      <c r="W44" s="124">
        <v>116.13815100000001</v>
      </c>
      <c r="X44" s="124">
        <v>240.78757500000006</v>
      </c>
      <c r="Y44" s="124">
        <v>0</v>
      </c>
      <c r="Z44" s="124">
        <v>0</v>
      </c>
      <c r="AA44" s="127">
        <v>0.188</v>
      </c>
      <c r="AB44" s="128">
        <v>0</v>
      </c>
      <c r="AC44" s="128">
        <v>0</v>
      </c>
      <c r="AD44" s="128">
        <v>1000000</v>
      </c>
      <c r="AE44" s="125" t="s">
        <v>352</v>
      </c>
      <c r="AF44" s="129" t="s">
        <v>94</v>
      </c>
      <c r="AG44" s="130">
        <v>0</v>
      </c>
      <c r="AH44" s="130">
        <v>0</v>
      </c>
      <c r="AI44" s="130">
        <v>0</v>
      </c>
      <c r="AJ44" s="130">
        <v>0</v>
      </c>
      <c r="AK44" s="130">
        <v>0</v>
      </c>
      <c r="AL44" s="130">
        <v>0</v>
      </c>
      <c r="AM44" s="138"/>
      <c r="AN44" s="182"/>
      <c r="AO44" s="183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27"/>
      <c r="BK44" s="184"/>
      <c r="BL44" s="184"/>
      <c r="BM44" s="184"/>
      <c r="BN44" s="182"/>
      <c r="BO44" s="182"/>
      <c r="BP44" s="182"/>
      <c r="BQ44" s="185"/>
      <c r="BR44" s="188"/>
      <c r="BS44" s="187"/>
      <c r="BT44" s="187"/>
      <c r="BU44" s="187"/>
      <c r="BV44" s="187"/>
      <c r="BW44" s="187"/>
      <c r="BX44" s="187"/>
      <c r="BY44" s="138"/>
      <c r="BZ44" s="182"/>
      <c r="CA44" s="183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</row>
    <row r="45" spans="1:92" s="181" customFormat="1" ht="10.5" customHeight="1" x14ac:dyDescent="0.25">
      <c r="A45" s="122">
        <v>32</v>
      </c>
      <c r="B45" s="123" t="s">
        <v>374</v>
      </c>
      <c r="C45" s="122" t="s">
        <v>92</v>
      </c>
      <c r="D45" s="124">
        <v>162</v>
      </c>
      <c r="E45" s="125" t="s">
        <v>339</v>
      </c>
      <c r="F45" s="126">
        <v>2.5529999999999999</v>
      </c>
      <c r="G45" s="124">
        <v>37572.6</v>
      </c>
      <c r="H45" s="124">
        <v>37572.6</v>
      </c>
      <c r="I45" s="124">
        <v>22731.9</v>
      </c>
      <c r="J45" s="124">
        <v>2854.1</v>
      </c>
      <c r="K45" s="124">
        <v>0</v>
      </c>
      <c r="L45" s="124">
        <v>900</v>
      </c>
      <c r="M45" s="124">
        <v>8850</v>
      </c>
      <c r="N45" s="124">
        <v>0</v>
      </c>
      <c r="O45" s="124">
        <v>0</v>
      </c>
      <c r="P45" s="124">
        <v>0</v>
      </c>
      <c r="Q45" s="124">
        <v>295</v>
      </c>
      <c r="R45" s="124">
        <v>8850</v>
      </c>
      <c r="S45" s="124">
        <v>1473.8882430149997</v>
      </c>
      <c r="T45" s="124">
        <v>1473.8882430149997</v>
      </c>
      <c r="U45" s="124">
        <v>0</v>
      </c>
      <c r="V45" s="124">
        <v>207.44911263</v>
      </c>
      <c r="W45" s="124">
        <v>39.686554420000007</v>
      </c>
      <c r="X45" s="124">
        <v>167.76255821000001</v>
      </c>
      <c r="Y45" s="124">
        <v>0</v>
      </c>
      <c r="Z45" s="124">
        <v>0</v>
      </c>
      <c r="AA45" s="127">
        <v>0.188</v>
      </c>
      <c r="AB45" s="128">
        <v>0</v>
      </c>
      <c r="AC45" s="128">
        <v>0</v>
      </c>
      <c r="AD45" s="128">
        <v>520000</v>
      </c>
      <c r="AE45" s="125" t="s">
        <v>352</v>
      </c>
      <c r="AF45" s="129" t="s">
        <v>375</v>
      </c>
      <c r="AG45" s="130">
        <v>130.99449678000002</v>
      </c>
      <c r="AH45" s="130">
        <v>130.99449678000002</v>
      </c>
      <c r="AI45" s="130">
        <v>0</v>
      </c>
      <c r="AJ45" s="130">
        <v>0</v>
      </c>
      <c r="AK45" s="130">
        <v>0</v>
      </c>
      <c r="AL45" s="130">
        <v>0</v>
      </c>
      <c r="AM45" s="138"/>
      <c r="AN45" s="182"/>
      <c r="AO45" s="183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27"/>
      <c r="BK45" s="184"/>
      <c r="BL45" s="184"/>
      <c r="BM45" s="184"/>
      <c r="BN45" s="182"/>
      <c r="BO45" s="182"/>
      <c r="BP45" s="182"/>
      <c r="BQ45" s="185"/>
      <c r="BR45" s="188"/>
      <c r="BS45" s="187"/>
      <c r="BT45" s="187"/>
      <c r="BU45" s="187"/>
      <c r="BV45" s="187"/>
      <c r="BW45" s="187"/>
      <c r="BX45" s="187"/>
      <c r="BY45" s="138"/>
      <c r="BZ45" s="182"/>
      <c r="CA45" s="183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</row>
    <row r="46" spans="1:92" s="181" customFormat="1" ht="21" x14ac:dyDescent="0.25">
      <c r="A46" s="122">
        <v>33</v>
      </c>
      <c r="B46" s="123" t="s">
        <v>415</v>
      </c>
      <c r="C46" s="122" t="s">
        <v>92</v>
      </c>
      <c r="D46" s="124">
        <v>60</v>
      </c>
      <c r="E46" s="125" t="s">
        <v>339</v>
      </c>
      <c r="F46" s="126">
        <v>0.4</v>
      </c>
      <c r="G46" s="124">
        <v>8636.7999999999993</v>
      </c>
      <c r="H46" s="124">
        <v>8636.7999999999993</v>
      </c>
      <c r="I46" s="124">
        <v>6173.5</v>
      </c>
      <c r="J46" s="124">
        <v>994.9</v>
      </c>
      <c r="K46" s="124">
        <v>0</v>
      </c>
      <c r="L46" s="124">
        <v>92</v>
      </c>
      <c r="M46" s="124">
        <v>298.8</v>
      </c>
      <c r="N46" s="124">
        <v>0</v>
      </c>
      <c r="O46" s="124">
        <v>298.8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68.9356382</v>
      </c>
      <c r="W46" s="124">
        <v>8.3439782000000005</v>
      </c>
      <c r="X46" s="124">
        <v>60.591659999999997</v>
      </c>
      <c r="Y46" s="124">
        <v>0</v>
      </c>
      <c r="Z46" s="124">
        <v>0</v>
      </c>
      <c r="AA46" s="127">
        <v>0.188</v>
      </c>
      <c r="AB46" s="128">
        <v>0</v>
      </c>
      <c r="AC46" s="128">
        <v>230000</v>
      </c>
      <c r="AD46" s="128">
        <v>0</v>
      </c>
      <c r="AE46" s="125" t="s">
        <v>352</v>
      </c>
      <c r="AF46" s="122">
        <v>2020</v>
      </c>
      <c r="AG46" s="130">
        <v>0</v>
      </c>
      <c r="AH46" s="130">
        <v>0</v>
      </c>
      <c r="AI46" s="130">
        <v>0</v>
      </c>
      <c r="AJ46" s="130">
        <v>0</v>
      </c>
      <c r="AK46" s="130">
        <v>0</v>
      </c>
      <c r="AL46" s="130">
        <v>0</v>
      </c>
      <c r="AM46" s="138"/>
      <c r="AN46" s="182"/>
      <c r="AO46" s="183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27"/>
      <c r="BK46" s="184"/>
      <c r="BL46" s="184"/>
      <c r="BM46" s="184"/>
      <c r="BN46" s="182"/>
      <c r="BO46" s="182"/>
      <c r="BP46" s="182"/>
      <c r="BQ46" s="185"/>
      <c r="BR46" s="186"/>
      <c r="BS46" s="187"/>
      <c r="BT46" s="187"/>
      <c r="BU46" s="187"/>
      <c r="BV46" s="187"/>
      <c r="BW46" s="187"/>
      <c r="BX46" s="187"/>
      <c r="BY46" s="138"/>
      <c r="BZ46" s="182"/>
      <c r="CA46" s="183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</row>
    <row r="47" spans="1:92" s="181" customFormat="1" ht="10.5" customHeight="1" x14ac:dyDescent="0.25">
      <c r="A47" s="122">
        <v>34</v>
      </c>
      <c r="B47" s="123" t="s">
        <v>114</v>
      </c>
      <c r="C47" s="122" t="s">
        <v>92</v>
      </c>
      <c r="D47" s="124">
        <v>0</v>
      </c>
      <c r="E47" s="125" t="s">
        <v>339</v>
      </c>
      <c r="F47" s="126">
        <v>12.9</v>
      </c>
      <c r="G47" s="124">
        <v>120713.7</v>
      </c>
      <c r="H47" s="124">
        <v>119093.7</v>
      </c>
      <c r="I47" s="124">
        <v>82326.7</v>
      </c>
      <c r="J47" s="124">
        <v>31757</v>
      </c>
      <c r="K47" s="124">
        <v>0</v>
      </c>
      <c r="L47" s="124">
        <v>750</v>
      </c>
      <c r="M47" s="124">
        <v>39729.300000000003</v>
      </c>
      <c r="N47" s="124">
        <v>0</v>
      </c>
      <c r="O47" s="124">
        <v>29709.3</v>
      </c>
      <c r="P47" s="124">
        <v>0</v>
      </c>
      <c r="Q47" s="124">
        <v>334</v>
      </c>
      <c r="R47" s="124">
        <v>10020</v>
      </c>
      <c r="S47" s="124">
        <v>3450.3678664127192</v>
      </c>
      <c r="T47" s="124">
        <v>610.17655241123248</v>
      </c>
      <c r="U47" s="124">
        <v>2840.1913140014867</v>
      </c>
      <c r="V47" s="124">
        <v>2295.3084487299998</v>
      </c>
      <c r="W47" s="124">
        <v>0</v>
      </c>
      <c r="X47" s="124">
        <v>2295.3084487299998</v>
      </c>
      <c r="Y47" s="124">
        <v>0</v>
      </c>
      <c r="Z47" s="124">
        <v>0</v>
      </c>
      <c r="AA47" s="127">
        <v>0.188</v>
      </c>
      <c r="AB47" s="128">
        <v>0</v>
      </c>
      <c r="AC47" s="128">
        <v>61600</v>
      </c>
      <c r="AD47" s="128">
        <v>2200000</v>
      </c>
      <c r="AE47" s="125" t="s">
        <v>352</v>
      </c>
      <c r="AF47" s="129" t="s">
        <v>372</v>
      </c>
      <c r="AG47" s="130">
        <v>1.3696667088625001</v>
      </c>
      <c r="AH47" s="130">
        <v>0.62431631177500002</v>
      </c>
      <c r="AI47" s="130">
        <v>0.74535039708750006</v>
      </c>
      <c r="AJ47" s="130">
        <v>0</v>
      </c>
      <c r="AK47" s="130">
        <v>0.67304084937608577</v>
      </c>
      <c r="AL47" s="130">
        <v>0</v>
      </c>
      <c r="AM47" s="138"/>
      <c r="AN47" s="182"/>
      <c r="AO47" s="183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27"/>
      <c r="BK47" s="184"/>
      <c r="BL47" s="184"/>
      <c r="BM47" s="184"/>
      <c r="BN47" s="182"/>
      <c r="BO47" s="182"/>
      <c r="BP47" s="182"/>
      <c r="BQ47" s="185"/>
      <c r="BR47" s="188"/>
      <c r="BS47" s="187"/>
      <c r="BT47" s="187"/>
      <c r="BU47" s="187"/>
      <c r="BV47" s="187"/>
      <c r="BW47" s="187"/>
      <c r="BX47" s="187"/>
      <c r="BY47" s="138"/>
      <c r="BZ47" s="182"/>
      <c r="CA47" s="183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</row>
    <row r="48" spans="1:92" s="181" customFormat="1" ht="31.5" x14ac:dyDescent="0.25">
      <c r="A48" s="122">
        <v>35</v>
      </c>
      <c r="B48" s="123" t="s">
        <v>102</v>
      </c>
      <c r="C48" s="122" t="s">
        <v>92</v>
      </c>
      <c r="D48" s="124">
        <v>0</v>
      </c>
      <c r="E48" s="125" t="s">
        <v>344</v>
      </c>
      <c r="F48" s="126">
        <v>67</v>
      </c>
      <c r="G48" s="124">
        <v>384235.02</v>
      </c>
      <c r="H48" s="124">
        <v>369379.22000000003</v>
      </c>
      <c r="I48" s="124">
        <v>345200.82</v>
      </c>
      <c r="J48" s="124">
        <v>16474.099999999999</v>
      </c>
      <c r="K48" s="124">
        <v>0</v>
      </c>
      <c r="L48" s="124">
        <v>449</v>
      </c>
      <c r="M48" s="124">
        <v>3204</v>
      </c>
      <c r="N48" s="124">
        <v>1508.8999999999999</v>
      </c>
      <c r="O48" s="124">
        <v>1455.1000000000001</v>
      </c>
      <c r="P48" s="124">
        <v>0</v>
      </c>
      <c r="Q48" s="124">
        <v>8</v>
      </c>
      <c r="R48" s="124">
        <v>240</v>
      </c>
      <c r="S48" s="124">
        <v>2086.3251354370886</v>
      </c>
      <c r="T48" s="124">
        <v>1050.1902561265879</v>
      </c>
      <c r="U48" s="124">
        <v>1036.1348793105008</v>
      </c>
      <c r="V48" s="124">
        <v>800.90966515666696</v>
      </c>
      <c r="W48" s="124">
        <v>218.15698768999999</v>
      </c>
      <c r="X48" s="124">
        <v>582.75267746666691</v>
      </c>
      <c r="Y48" s="124">
        <v>0</v>
      </c>
      <c r="Z48" s="124">
        <v>0</v>
      </c>
      <c r="AA48" s="127">
        <v>0.188</v>
      </c>
      <c r="AB48" s="128">
        <v>184000</v>
      </c>
      <c r="AC48" s="128">
        <v>220000</v>
      </c>
      <c r="AD48" s="128">
        <v>960000</v>
      </c>
      <c r="AE48" s="125" t="s">
        <v>352</v>
      </c>
      <c r="AF48" s="129" t="s">
        <v>345</v>
      </c>
      <c r="AG48" s="130">
        <v>3.4804714500000005</v>
      </c>
      <c r="AH48" s="130">
        <v>2.1824267700000002</v>
      </c>
      <c r="AI48" s="130">
        <v>1.2980446800000003</v>
      </c>
      <c r="AJ48" s="130">
        <v>0</v>
      </c>
      <c r="AK48" s="130">
        <v>1.1909167984958682</v>
      </c>
      <c r="AL48" s="130">
        <v>0</v>
      </c>
      <c r="AM48" s="138"/>
      <c r="AN48" s="182"/>
      <c r="AO48" s="183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27"/>
      <c r="BK48" s="184"/>
      <c r="BL48" s="184"/>
      <c r="BM48" s="184"/>
      <c r="BN48" s="182"/>
      <c r="BO48" s="182"/>
      <c r="BP48" s="182"/>
      <c r="BQ48" s="185"/>
      <c r="BR48" s="188"/>
      <c r="BS48" s="187"/>
      <c r="BT48" s="187"/>
      <c r="BU48" s="187"/>
      <c r="BV48" s="187"/>
      <c r="BW48" s="187"/>
      <c r="BX48" s="187"/>
      <c r="BY48" s="138"/>
      <c r="BZ48" s="182"/>
      <c r="CA48" s="183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</row>
    <row r="49" spans="1:92" s="181" customFormat="1" ht="10.5" customHeight="1" x14ac:dyDescent="0.25">
      <c r="A49" s="133"/>
      <c r="B49" s="159" t="s">
        <v>474</v>
      </c>
      <c r="C49" s="133"/>
      <c r="D49" s="135">
        <v>5292</v>
      </c>
      <c r="E49" s="133"/>
      <c r="F49" s="133"/>
      <c r="G49" s="135">
        <v>1098502.8799999999</v>
      </c>
      <c r="H49" s="135">
        <v>1041646.8800000001</v>
      </c>
      <c r="I49" s="135">
        <v>827105.88000000012</v>
      </c>
      <c r="J49" s="135">
        <v>100530.4</v>
      </c>
      <c r="K49" s="135">
        <v>0</v>
      </c>
      <c r="L49" s="135">
        <v>7228</v>
      </c>
      <c r="M49" s="135">
        <v>85330.8</v>
      </c>
      <c r="N49" s="135">
        <v>6949.4</v>
      </c>
      <c r="O49" s="135">
        <v>47241.4</v>
      </c>
      <c r="P49" s="135">
        <v>0</v>
      </c>
      <c r="Q49" s="135">
        <v>1038</v>
      </c>
      <c r="R49" s="135">
        <v>31140</v>
      </c>
      <c r="S49" s="135">
        <v>30741.440415097539</v>
      </c>
      <c r="T49" s="135">
        <v>26380.637561715223</v>
      </c>
      <c r="U49" s="135">
        <v>4360.8028533823208</v>
      </c>
      <c r="V49" s="135">
        <v>10080.458438986667</v>
      </c>
      <c r="W49" s="135">
        <v>2545.9716250799997</v>
      </c>
      <c r="X49" s="135">
        <v>7534.4868139066684</v>
      </c>
      <c r="Y49" s="135">
        <v>0</v>
      </c>
      <c r="Z49" s="135">
        <v>0</v>
      </c>
      <c r="AA49" s="136"/>
      <c r="AB49" s="135"/>
      <c r="AC49" s="135"/>
      <c r="AD49" s="135"/>
      <c r="AE49" s="136"/>
      <c r="AF49" s="136"/>
      <c r="AG49" s="137">
        <v>6632.543825163174</v>
      </c>
      <c r="AH49" s="137">
        <v>6630.5004300860874</v>
      </c>
      <c r="AI49" s="137">
        <v>2.0433950770875002</v>
      </c>
      <c r="AJ49" s="137">
        <v>0</v>
      </c>
      <c r="AK49" s="137">
        <v>1.8639576478719539</v>
      </c>
      <c r="AL49" s="137">
        <v>0</v>
      </c>
      <c r="AM49" s="189"/>
      <c r="AN49" s="190"/>
      <c r="AO49" s="190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91"/>
      <c r="BK49" s="189"/>
      <c r="BL49" s="189"/>
      <c r="BM49" s="189"/>
      <c r="BN49" s="191"/>
      <c r="BO49" s="191"/>
      <c r="BP49" s="191"/>
      <c r="BQ49" s="191"/>
      <c r="BR49" s="191"/>
      <c r="BS49" s="192"/>
      <c r="BT49" s="192"/>
      <c r="BU49" s="192"/>
      <c r="BV49" s="192"/>
      <c r="BW49" s="192"/>
      <c r="BX49" s="192"/>
      <c r="BY49" s="189"/>
      <c r="BZ49" s="190"/>
      <c r="CA49" s="190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</row>
    <row r="50" spans="1:92" s="181" customFormat="1" ht="10.5" customHeight="1" x14ac:dyDescent="0.25">
      <c r="A50" s="172"/>
      <c r="B50" s="119" t="s">
        <v>376</v>
      </c>
      <c r="C50" s="172"/>
      <c r="D50" s="171"/>
      <c r="E50" s="172"/>
      <c r="F50" s="172"/>
      <c r="G50" s="172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71"/>
      <c r="T50" s="171"/>
      <c r="U50" s="171"/>
      <c r="V50" s="171"/>
      <c r="W50" s="171"/>
      <c r="X50" s="171"/>
      <c r="Y50" s="171"/>
      <c r="Z50" s="171"/>
      <c r="AA50" s="171"/>
      <c r="AB50" s="120"/>
      <c r="AC50" s="120"/>
      <c r="AD50" s="120"/>
      <c r="AE50" s="171"/>
      <c r="AF50" s="171"/>
      <c r="AG50" s="171"/>
      <c r="AH50" s="171"/>
      <c r="AI50" s="121"/>
      <c r="AJ50" s="121"/>
      <c r="AK50" s="121"/>
      <c r="AL50" s="121"/>
      <c r="AM50" s="175"/>
      <c r="AN50" s="176"/>
      <c r="AO50" s="176"/>
      <c r="AP50" s="176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5"/>
      <c r="BC50" s="175"/>
      <c r="BD50" s="175"/>
      <c r="BE50" s="175"/>
      <c r="BF50" s="175"/>
      <c r="BG50" s="175"/>
      <c r="BH50" s="175"/>
      <c r="BI50" s="175"/>
      <c r="BJ50" s="175"/>
      <c r="BK50" s="178"/>
      <c r="BL50" s="178"/>
      <c r="BM50" s="178"/>
      <c r="BN50" s="175"/>
      <c r="BO50" s="179"/>
      <c r="BP50" s="179"/>
      <c r="BQ50" s="179"/>
      <c r="BR50" s="175"/>
      <c r="BS50" s="175"/>
      <c r="BT50" s="175"/>
      <c r="BU50" s="180"/>
      <c r="BV50" s="180"/>
      <c r="BW50" s="180"/>
      <c r="BX50" s="180"/>
      <c r="BY50" s="175"/>
      <c r="BZ50" s="176"/>
      <c r="CA50" s="176"/>
      <c r="CB50" s="176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5"/>
    </row>
    <row r="51" spans="1:92" s="181" customFormat="1" ht="31.5" x14ac:dyDescent="0.25">
      <c r="A51" s="122">
        <v>36</v>
      </c>
      <c r="B51" s="123" t="s">
        <v>98</v>
      </c>
      <c r="C51" s="122" t="s">
        <v>349</v>
      </c>
      <c r="D51" s="124">
        <v>10501</v>
      </c>
      <c r="E51" s="125" t="s">
        <v>344</v>
      </c>
      <c r="F51" s="126">
        <v>36.299999999999997</v>
      </c>
      <c r="G51" s="124">
        <v>595196.19999999995</v>
      </c>
      <c r="H51" s="124">
        <v>532688.30000000005</v>
      </c>
      <c r="I51" s="124">
        <v>468073.6</v>
      </c>
      <c r="J51" s="124">
        <v>30590.6</v>
      </c>
      <c r="K51" s="124">
        <v>0</v>
      </c>
      <c r="L51" s="124">
        <v>2201</v>
      </c>
      <c r="M51" s="124">
        <v>37782.700000000004</v>
      </c>
      <c r="N51" s="124">
        <v>27920.800000000003</v>
      </c>
      <c r="O51" s="124">
        <v>801.89999999999986</v>
      </c>
      <c r="P51" s="124">
        <v>0</v>
      </c>
      <c r="Q51" s="124">
        <v>302</v>
      </c>
      <c r="R51" s="124">
        <v>9060</v>
      </c>
      <c r="S51" s="124">
        <v>28076.022257393499</v>
      </c>
      <c r="T51" s="124">
        <v>28030.314820486357</v>
      </c>
      <c r="U51" s="124">
        <v>45.707436907142856</v>
      </c>
      <c r="V51" s="124">
        <v>12105.827847796665</v>
      </c>
      <c r="W51" s="124">
        <v>2993.8467426299999</v>
      </c>
      <c r="X51" s="124">
        <v>9111.9811051666657</v>
      </c>
      <c r="Y51" s="124">
        <v>0</v>
      </c>
      <c r="Z51" s="124">
        <v>0</v>
      </c>
      <c r="AA51" s="127">
        <v>0.188</v>
      </c>
      <c r="AB51" s="128">
        <v>294000</v>
      </c>
      <c r="AC51" s="128">
        <v>301000</v>
      </c>
      <c r="AD51" s="128">
        <v>800000</v>
      </c>
      <c r="AE51" s="125" t="s">
        <v>352</v>
      </c>
      <c r="AF51" s="129" t="s">
        <v>350</v>
      </c>
      <c r="AG51" s="130">
        <v>11.248871339999999</v>
      </c>
      <c r="AH51" s="130">
        <v>11.248871339999999</v>
      </c>
      <c r="AI51" s="130">
        <v>0</v>
      </c>
      <c r="AJ51" s="130">
        <v>0</v>
      </c>
      <c r="AK51" s="130">
        <v>0</v>
      </c>
      <c r="AL51" s="130">
        <v>0</v>
      </c>
      <c r="AM51" s="138"/>
      <c r="AN51" s="182"/>
      <c r="AO51" s="183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27"/>
      <c r="BK51" s="184"/>
      <c r="BL51" s="184"/>
      <c r="BM51" s="184"/>
      <c r="BN51" s="182"/>
      <c r="BO51" s="182"/>
      <c r="BP51" s="182"/>
      <c r="BQ51" s="185"/>
      <c r="BR51" s="188"/>
      <c r="BS51" s="187"/>
      <c r="BT51" s="187"/>
      <c r="BU51" s="187"/>
      <c r="BV51" s="187"/>
      <c r="BW51" s="187"/>
      <c r="BX51" s="187"/>
      <c r="BY51" s="138"/>
      <c r="BZ51" s="182"/>
      <c r="CA51" s="183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</row>
    <row r="52" spans="1:92" s="181" customFormat="1" ht="21" x14ac:dyDescent="0.25">
      <c r="A52" s="122">
        <v>37</v>
      </c>
      <c r="B52" s="123" t="s">
        <v>377</v>
      </c>
      <c r="C52" s="122" t="s">
        <v>349</v>
      </c>
      <c r="D52" s="124">
        <v>4375</v>
      </c>
      <c r="E52" s="125" t="s">
        <v>342</v>
      </c>
      <c r="F52" s="126">
        <v>3</v>
      </c>
      <c r="G52" s="124">
        <v>62062.1</v>
      </c>
      <c r="H52" s="124">
        <v>59118.6</v>
      </c>
      <c r="I52" s="124">
        <v>47592.2</v>
      </c>
      <c r="J52" s="124">
        <v>6200.8</v>
      </c>
      <c r="K52" s="124">
        <v>0</v>
      </c>
      <c r="L52" s="124">
        <v>395</v>
      </c>
      <c r="M52" s="124">
        <v>3731.8</v>
      </c>
      <c r="N52" s="124">
        <v>2364.5</v>
      </c>
      <c r="O52" s="124">
        <v>197.3</v>
      </c>
      <c r="P52" s="124">
        <v>0</v>
      </c>
      <c r="Q52" s="124">
        <v>39</v>
      </c>
      <c r="R52" s="124">
        <v>1170</v>
      </c>
      <c r="S52" s="124">
        <v>7099.876381680001</v>
      </c>
      <c r="T52" s="124">
        <v>7076.3355816800013</v>
      </c>
      <c r="U52" s="124">
        <v>23.540799999999997</v>
      </c>
      <c r="V52" s="124">
        <v>5496.4183606399993</v>
      </c>
      <c r="W52" s="124">
        <v>4275.2789351399997</v>
      </c>
      <c r="X52" s="124">
        <v>1221.1394254999996</v>
      </c>
      <c r="Y52" s="124">
        <v>0</v>
      </c>
      <c r="Z52" s="124">
        <v>0</v>
      </c>
      <c r="AA52" s="127">
        <v>0.188</v>
      </c>
      <c r="AB52" s="128">
        <v>413000</v>
      </c>
      <c r="AC52" s="128">
        <v>309000</v>
      </c>
      <c r="AD52" s="128">
        <v>3900000</v>
      </c>
      <c r="AE52" s="125" t="s">
        <v>352</v>
      </c>
      <c r="AF52" s="122">
        <v>2021</v>
      </c>
      <c r="AG52" s="130">
        <v>2392.6788787500009</v>
      </c>
      <c r="AH52" s="130">
        <v>2392.4129515900008</v>
      </c>
      <c r="AI52" s="130">
        <v>0.26592716000004657</v>
      </c>
      <c r="AJ52" s="130">
        <v>0</v>
      </c>
      <c r="AK52" s="130">
        <v>0.24398013943580013</v>
      </c>
      <c r="AL52" s="130">
        <v>0</v>
      </c>
      <c r="AM52" s="138"/>
      <c r="AN52" s="182"/>
      <c r="AO52" s="183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27"/>
      <c r="BK52" s="184"/>
      <c r="BL52" s="184"/>
      <c r="BM52" s="184"/>
      <c r="BN52" s="182"/>
      <c r="BO52" s="182"/>
      <c r="BP52" s="182"/>
      <c r="BQ52" s="185"/>
      <c r="BR52" s="186"/>
      <c r="BS52" s="187"/>
      <c r="BT52" s="187"/>
      <c r="BU52" s="187"/>
      <c r="BV52" s="187"/>
      <c r="BW52" s="187"/>
      <c r="BX52" s="187"/>
      <c r="BY52" s="138"/>
      <c r="BZ52" s="182"/>
      <c r="CA52" s="183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</row>
    <row r="53" spans="1:92" s="181" customFormat="1" x14ac:dyDescent="0.25">
      <c r="A53" s="122">
        <v>38</v>
      </c>
      <c r="B53" s="123" t="s">
        <v>97</v>
      </c>
      <c r="C53" s="122" t="s">
        <v>349</v>
      </c>
      <c r="D53" s="124">
        <v>3846</v>
      </c>
      <c r="E53" s="125" t="s">
        <v>342</v>
      </c>
      <c r="F53" s="126">
        <v>2.1</v>
      </c>
      <c r="G53" s="124">
        <v>39745.699999999997</v>
      </c>
      <c r="H53" s="124">
        <v>39449.5</v>
      </c>
      <c r="I53" s="124">
        <v>32707.4</v>
      </c>
      <c r="J53" s="124">
        <v>1708</v>
      </c>
      <c r="K53" s="124">
        <v>0</v>
      </c>
      <c r="L53" s="124">
        <v>374</v>
      </c>
      <c r="M53" s="124">
        <v>17433.300000000003</v>
      </c>
      <c r="N53" s="124">
        <v>9132.6</v>
      </c>
      <c r="O53" s="124">
        <v>770.7</v>
      </c>
      <c r="P53" s="124">
        <v>0</v>
      </c>
      <c r="Q53" s="124">
        <v>251</v>
      </c>
      <c r="R53" s="124">
        <v>7530</v>
      </c>
      <c r="S53" s="124">
        <v>4631.0720974919004</v>
      </c>
      <c r="T53" s="124">
        <v>4627.0039168336334</v>
      </c>
      <c r="U53" s="124">
        <v>4.0681806582666669</v>
      </c>
      <c r="V53" s="124">
        <v>4695.7615424040005</v>
      </c>
      <c r="W53" s="124">
        <v>1063.38288053</v>
      </c>
      <c r="X53" s="124">
        <v>3632.3786618740005</v>
      </c>
      <c r="Y53" s="124">
        <v>0</v>
      </c>
      <c r="Z53" s="124">
        <v>0</v>
      </c>
      <c r="AA53" s="127">
        <v>0.188</v>
      </c>
      <c r="AB53" s="128">
        <v>300000</v>
      </c>
      <c r="AC53" s="128">
        <v>347000</v>
      </c>
      <c r="AD53" s="128">
        <v>2000000</v>
      </c>
      <c r="AE53" s="125" t="s">
        <v>352</v>
      </c>
      <c r="AF53" s="122" t="s">
        <v>353</v>
      </c>
      <c r="AG53" s="130">
        <v>624.35544603000005</v>
      </c>
      <c r="AH53" s="130">
        <v>624.35544603000005</v>
      </c>
      <c r="AI53" s="130">
        <v>0</v>
      </c>
      <c r="AJ53" s="130">
        <v>0</v>
      </c>
      <c r="AK53" s="130">
        <v>0</v>
      </c>
      <c r="AL53" s="130">
        <v>0</v>
      </c>
      <c r="AM53" s="138"/>
      <c r="AN53" s="182"/>
      <c r="AO53" s="183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27"/>
      <c r="BK53" s="184"/>
      <c r="BL53" s="184"/>
      <c r="BM53" s="184"/>
      <c r="BN53" s="182"/>
      <c r="BO53" s="182"/>
      <c r="BP53" s="182"/>
      <c r="BQ53" s="185"/>
      <c r="BR53" s="186"/>
      <c r="BS53" s="187"/>
      <c r="BT53" s="187"/>
      <c r="BU53" s="187"/>
      <c r="BV53" s="187"/>
      <c r="BW53" s="187"/>
      <c r="BX53" s="187"/>
      <c r="BY53" s="138"/>
      <c r="BZ53" s="182"/>
      <c r="CA53" s="183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</row>
    <row r="54" spans="1:92" s="181" customFormat="1" hidden="1" outlineLevel="1" x14ac:dyDescent="0.25">
      <c r="A54" s="122">
        <v>0</v>
      </c>
      <c r="B54" s="123" t="s">
        <v>97</v>
      </c>
      <c r="C54" s="122" t="s">
        <v>349</v>
      </c>
      <c r="D54" s="124">
        <v>722</v>
      </c>
      <c r="E54" s="125" t="s">
        <v>342</v>
      </c>
      <c r="F54" s="126">
        <v>2.1</v>
      </c>
      <c r="G54" s="124">
        <v>23655.200000000001</v>
      </c>
      <c r="H54" s="124">
        <v>23655.200000000001</v>
      </c>
      <c r="I54" s="124">
        <v>19723.900000000001</v>
      </c>
      <c r="J54" s="124">
        <v>1002</v>
      </c>
      <c r="K54" s="124">
        <v>0</v>
      </c>
      <c r="L54" s="124">
        <v>219</v>
      </c>
      <c r="M54" s="124">
        <v>5837.7</v>
      </c>
      <c r="N54" s="124">
        <v>1755.9</v>
      </c>
      <c r="O54" s="124">
        <v>211.8</v>
      </c>
      <c r="P54" s="124">
        <v>0</v>
      </c>
      <c r="Q54" s="124">
        <v>129</v>
      </c>
      <c r="R54" s="124">
        <v>3870</v>
      </c>
      <c r="S54" s="124">
        <v>2333.6584745176133</v>
      </c>
      <c r="T54" s="124">
        <v>2333.5504745456133</v>
      </c>
      <c r="U54" s="124">
        <v>0.10799997200000462</v>
      </c>
      <c r="V54" s="124">
        <v>867.03253727399999</v>
      </c>
      <c r="W54" s="124">
        <v>0</v>
      </c>
      <c r="X54" s="124">
        <v>867.03253727399999</v>
      </c>
      <c r="Y54" s="124">
        <v>0</v>
      </c>
      <c r="Z54" s="124">
        <v>0</v>
      </c>
      <c r="AA54" s="127">
        <v>0.188</v>
      </c>
      <c r="AB54" s="128">
        <v>300000</v>
      </c>
      <c r="AC54" s="128">
        <v>347000</v>
      </c>
      <c r="AD54" s="128">
        <v>2000000</v>
      </c>
      <c r="AE54" s="125" t="s">
        <v>352</v>
      </c>
      <c r="AF54" s="122">
        <v>2022</v>
      </c>
      <c r="AG54" s="130">
        <v>605.37679005000007</v>
      </c>
      <c r="AH54" s="130">
        <v>605.37679005000007</v>
      </c>
      <c r="AI54" s="130">
        <v>0</v>
      </c>
      <c r="AJ54" s="130">
        <v>0</v>
      </c>
      <c r="AK54" s="130">
        <v>0</v>
      </c>
      <c r="AL54" s="130">
        <v>0</v>
      </c>
      <c r="AM54" s="138"/>
      <c r="AN54" s="182"/>
      <c r="AO54" s="183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27"/>
      <c r="BK54" s="184"/>
      <c r="BL54" s="184"/>
      <c r="BM54" s="184"/>
      <c r="BN54" s="182"/>
      <c r="BO54" s="182"/>
      <c r="BP54" s="182"/>
      <c r="BQ54" s="185"/>
      <c r="BR54" s="186"/>
      <c r="BS54" s="187"/>
      <c r="BT54" s="187"/>
      <c r="BU54" s="187"/>
      <c r="BV54" s="187"/>
      <c r="BW54" s="187"/>
      <c r="BX54" s="187"/>
      <c r="BY54" s="138"/>
      <c r="BZ54" s="182"/>
      <c r="CA54" s="183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</row>
    <row r="55" spans="1:92" s="181" customFormat="1" hidden="1" outlineLevel="1" x14ac:dyDescent="0.25">
      <c r="A55" s="122">
        <v>0</v>
      </c>
      <c r="B55" s="123" t="s">
        <v>475</v>
      </c>
      <c r="C55" s="122" t="s">
        <v>349</v>
      </c>
      <c r="D55" s="124">
        <v>3124</v>
      </c>
      <c r="E55" s="125" t="s">
        <v>342</v>
      </c>
      <c r="F55" s="126">
        <v>2.0825</v>
      </c>
      <c r="G55" s="124">
        <v>16090.5</v>
      </c>
      <c r="H55" s="124">
        <v>15794.3</v>
      </c>
      <c r="I55" s="124">
        <v>12983.5</v>
      </c>
      <c r="J55" s="124">
        <v>706</v>
      </c>
      <c r="K55" s="124">
        <v>0</v>
      </c>
      <c r="L55" s="124">
        <v>155</v>
      </c>
      <c r="M55" s="124">
        <v>11595.599999999999</v>
      </c>
      <c r="N55" s="124">
        <v>7376.7</v>
      </c>
      <c r="O55" s="124">
        <v>558.9</v>
      </c>
      <c r="P55" s="124">
        <v>0</v>
      </c>
      <c r="Q55" s="124">
        <v>122</v>
      </c>
      <c r="R55" s="124">
        <v>3660</v>
      </c>
      <c r="S55" s="124">
        <v>2297.4136229742871</v>
      </c>
      <c r="T55" s="124">
        <v>2293.4534422880206</v>
      </c>
      <c r="U55" s="124">
        <v>3.960180686266662</v>
      </c>
      <c r="V55" s="124">
        <v>3828.7290051300006</v>
      </c>
      <c r="W55" s="124">
        <v>1063.38288053</v>
      </c>
      <c r="X55" s="124">
        <v>2765.3461246000006</v>
      </c>
      <c r="Y55" s="124">
        <v>0</v>
      </c>
      <c r="Z55" s="124">
        <v>0</v>
      </c>
      <c r="AA55" s="127">
        <v>0.188</v>
      </c>
      <c r="AB55" s="128">
        <v>300000</v>
      </c>
      <c r="AC55" s="128">
        <v>347000</v>
      </c>
      <c r="AD55" s="128">
        <v>2000000</v>
      </c>
      <c r="AE55" s="125" t="s">
        <v>352</v>
      </c>
      <c r="AF55" s="122">
        <v>2024</v>
      </c>
      <c r="AG55" s="130">
        <v>18.978655979999999</v>
      </c>
      <c r="AH55" s="130">
        <v>18.978655979999999</v>
      </c>
      <c r="AI55" s="130">
        <v>0</v>
      </c>
      <c r="AJ55" s="130">
        <v>0</v>
      </c>
      <c r="AK55" s="130">
        <v>0</v>
      </c>
      <c r="AL55" s="130">
        <v>0</v>
      </c>
      <c r="AM55" s="138"/>
      <c r="AN55" s="182"/>
      <c r="AO55" s="183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27"/>
      <c r="BK55" s="184"/>
      <c r="BL55" s="184"/>
      <c r="BM55" s="184"/>
      <c r="BN55" s="182"/>
      <c r="BO55" s="182"/>
      <c r="BP55" s="182"/>
      <c r="BQ55" s="185"/>
      <c r="BR55" s="186"/>
      <c r="BS55" s="187"/>
      <c r="BT55" s="187"/>
      <c r="BU55" s="187"/>
      <c r="BV55" s="187"/>
      <c r="BW55" s="187"/>
      <c r="BX55" s="187"/>
      <c r="BY55" s="138"/>
      <c r="BZ55" s="182"/>
      <c r="CA55" s="183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</row>
    <row r="56" spans="1:92" s="181" customFormat="1" ht="10.5" customHeight="1" collapsed="1" x14ac:dyDescent="0.25">
      <c r="A56" s="122">
        <v>39</v>
      </c>
      <c r="B56" s="123" t="s">
        <v>351</v>
      </c>
      <c r="C56" s="122" t="s">
        <v>349</v>
      </c>
      <c r="D56" s="124">
        <v>3740</v>
      </c>
      <c r="E56" s="125" t="s">
        <v>342</v>
      </c>
      <c r="F56" s="126">
        <v>6.95</v>
      </c>
      <c r="G56" s="124">
        <v>113033.4</v>
      </c>
      <c r="H56" s="124">
        <v>108684.9</v>
      </c>
      <c r="I56" s="124">
        <v>91704.4</v>
      </c>
      <c r="J56" s="124">
        <v>3374.6</v>
      </c>
      <c r="K56" s="124">
        <v>0</v>
      </c>
      <c r="L56" s="124">
        <v>1023</v>
      </c>
      <c r="M56" s="124">
        <v>22354.7</v>
      </c>
      <c r="N56" s="124">
        <v>10651.5</v>
      </c>
      <c r="O56" s="124">
        <v>990.6</v>
      </c>
      <c r="P56" s="124">
        <v>0</v>
      </c>
      <c r="Q56" s="124">
        <v>759</v>
      </c>
      <c r="R56" s="124">
        <v>10712.6</v>
      </c>
      <c r="S56" s="124">
        <v>10628.92059070795</v>
      </c>
      <c r="T56" s="124">
        <v>9674.4176171661657</v>
      </c>
      <c r="U56" s="124">
        <v>954.50297354178485</v>
      </c>
      <c r="V56" s="124">
        <v>5497.6360236410401</v>
      </c>
      <c r="W56" s="124">
        <v>1041.13516179</v>
      </c>
      <c r="X56" s="124">
        <v>4456.5008618510401</v>
      </c>
      <c r="Y56" s="124">
        <v>0</v>
      </c>
      <c r="Z56" s="124">
        <v>0</v>
      </c>
      <c r="AA56" s="127">
        <v>0.21199999999999999</v>
      </c>
      <c r="AB56" s="128">
        <v>300000</v>
      </c>
      <c r="AC56" s="128">
        <v>234000</v>
      </c>
      <c r="AD56" s="128">
        <v>1140000</v>
      </c>
      <c r="AE56" s="193" t="s">
        <v>340</v>
      </c>
      <c r="AF56" s="122">
        <v>2022</v>
      </c>
      <c r="AG56" s="130">
        <v>2501.7300228699996</v>
      </c>
      <c r="AH56" s="130">
        <v>2501.7300228699996</v>
      </c>
      <c r="AI56" s="130">
        <v>0</v>
      </c>
      <c r="AJ56" s="130">
        <v>0</v>
      </c>
      <c r="AK56" s="130">
        <v>0</v>
      </c>
      <c r="AL56" s="130">
        <v>0</v>
      </c>
      <c r="AM56" s="138"/>
      <c r="AN56" s="182"/>
      <c r="AO56" s="183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27"/>
      <c r="BK56" s="184"/>
      <c r="BL56" s="184"/>
      <c r="BM56" s="184"/>
      <c r="BN56" s="182"/>
      <c r="BO56" s="182"/>
      <c r="BP56" s="182"/>
      <c r="BQ56" s="185"/>
      <c r="BR56" s="186"/>
      <c r="BS56" s="187"/>
      <c r="BT56" s="187"/>
      <c r="BU56" s="187"/>
      <c r="BV56" s="187"/>
      <c r="BW56" s="187"/>
      <c r="BX56" s="187"/>
      <c r="BY56" s="138"/>
      <c r="BZ56" s="182"/>
      <c r="CA56" s="183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</row>
    <row r="57" spans="1:92" s="181" customFormat="1" ht="10.5" customHeight="1" x14ac:dyDescent="0.25">
      <c r="A57" s="122">
        <v>40</v>
      </c>
      <c r="B57" s="123" t="s">
        <v>111</v>
      </c>
      <c r="C57" s="122" t="s">
        <v>349</v>
      </c>
      <c r="D57" s="124">
        <v>2270</v>
      </c>
      <c r="E57" s="125" t="s">
        <v>342</v>
      </c>
      <c r="F57" s="126">
        <v>35.4</v>
      </c>
      <c r="G57" s="124">
        <v>605514.80000000016</v>
      </c>
      <c r="H57" s="124">
        <v>605514.80000000016</v>
      </c>
      <c r="I57" s="124">
        <v>500891.00000000006</v>
      </c>
      <c r="J57" s="124">
        <v>30521.4</v>
      </c>
      <c r="K57" s="124">
        <v>0</v>
      </c>
      <c r="L57" s="124">
        <v>2333</v>
      </c>
      <c r="M57" s="124">
        <v>10969.7</v>
      </c>
      <c r="N57" s="124">
        <v>10579.7</v>
      </c>
      <c r="O57" s="124">
        <v>0</v>
      </c>
      <c r="P57" s="124">
        <v>0</v>
      </c>
      <c r="Q57" s="124">
        <v>13</v>
      </c>
      <c r="R57" s="124">
        <v>390</v>
      </c>
      <c r="S57" s="124">
        <v>0</v>
      </c>
      <c r="T57" s="124">
        <v>0</v>
      </c>
      <c r="U57" s="124">
        <v>0</v>
      </c>
      <c r="V57" s="124">
        <v>2814.2351093433331</v>
      </c>
      <c r="W57" s="124">
        <v>385.52289397999994</v>
      </c>
      <c r="X57" s="124">
        <v>2428.7122153633331</v>
      </c>
      <c r="Y57" s="124">
        <v>0</v>
      </c>
      <c r="Z57" s="124">
        <v>0</v>
      </c>
      <c r="AA57" s="127">
        <v>0.188</v>
      </c>
      <c r="AB57" s="128">
        <v>210000</v>
      </c>
      <c r="AC57" s="128">
        <v>0</v>
      </c>
      <c r="AD57" s="128">
        <v>440000</v>
      </c>
      <c r="AE57" s="125" t="s">
        <v>352</v>
      </c>
      <c r="AF57" s="122">
        <v>2010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8"/>
      <c r="AN57" s="182"/>
      <c r="AO57" s="183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27"/>
      <c r="BK57" s="184"/>
      <c r="BL57" s="184"/>
      <c r="BM57" s="184"/>
      <c r="BN57" s="182"/>
      <c r="BO57" s="182"/>
      <c r="BP57" s="182"/>
      <c r="BQ57" s="185"/>
      <c r="BR57" s="186"/>
      <c r="BS57" s="187"/>
      <c r="BT57" s="187"/>
      <c r="BU57" s="187"/>
      <c r="BV57" s="187"/>
      <c r="BW57" s="187"/>
      <c r="BX57" s="187"/>
      <c r="BY57" s="138"/>
      <c r="BZ57" s="182"/>
      <c r="CA57" s="183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</row>
    <row r="58" spans="1:92" s="181" customFormat="1" ht="10.5" customHeight="1" x14ac:dyDescent="0.25">
      <c r="A58" s="122">
        <v>41</v>
      </c>
      <c r="B58" s="123" t="s">
        <v>356</v>
      </c>
      <c r="C58" s="122" t="s">
        <v>349</v>
      </c>
      <c r="D58" s="124">
        <v>1027</v>
      </c>
      <c r="E58" s="125" t="s">
        <v>342</v>
      </c>
      <c r="F58" s="126">
        <v>11.689</v>
      </c>
      <c r="G58" s="124">
        <v>49580.533814432987</v>
      </c>
      <c r="H58" s="124">
        <v>49580.533814432987</v>
      </c>
      <c r="I58" s="124">
        <v>38276.199999999997</v>
      </c>
      <c r="J58" s="124">
        <v>2768.1000000000004</v>
      </c>
      <c r="K58" s="124">
        <v>0</v>
      </c>
      <c r="L58" s="124">
        <v>638</v>
      </c>
      <c r="M58" s="124">
        <v>10002.5</v>
      </c>
      <c r="N58" s="124">
        <v>3582.5</v>
      </c>
      <c r="O58" s="124">
        <v>0</v>
      </c>
      <c r="P58" s="124">
        <v>0</v>
      </c>
      <c r="Q58" s="124">
        <v>214</v>
      </c>
      <c r="R58" s="124">
        <v>6420</v>
      </c>
      <c r="S58" s="124">
        <v>3958.7427943799812</v>
      </c>
      <c r="T58" s="124">
        <v>3907.2367497173623</v>
      </c>
      <c r="U58" s="124">
        <v>51.50604466261904</v>
      </c>
      <c r="V58" s="124">
        <v>1234.9786756486001</v>
      </c>
      <c r="W58" s="124">
        <v>89.353191340000009</v>
      </c>
      <c r="X58" s="124">
        <v>1145.6254843086001</v>
      </c>
      <c r="Y58" s="124">
        <v>0</v>
      </c>
      <c r="Z58" s="124">
        <v>0</v>
      </c>
      <c r="AA58" s="127">
        <v>0.188</v>
      </c>
      <c r="AB58" s="128">
        <v>260000</v>
      </c>
      <c r="AC58" s="128">
        <v>0</v>
      </c>
      <c r="AD58" s="128">
        <v>670000</v>
      </c>
      <c r="AE58" s="125" t="s">
        <v>352</v>
      </c>
      <c r="AF58" s="129" t="s">
        <v>353</v>
      </c>
      <c r="AG58" s="130">
        <v>239.77912438015039</v>
      </c>
      <c r="AH58" s="130">
        <v>239.77912438015039</v>
      </c>
      <c r="AI58" s="130">
        <v>0</v>
      </c>
      <c r="AJ58" s="130">
        <v>0</v>
      </c>
      <c r="AK58" s="130">
        <v>0</v>
      </c>
      <c r="AL58" s="130">
        <v>0</v>
      </c>
      <c r="AM58" s="138"/>
      <c r="AN58" s="182"/>
      <c r="AO58" s="183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27"/>
      <c r="BK58" s="184"/>
      <c r="BL58" s="184"/>
      <c r="BM58" s="184"/>
      <c r="BN58" s="182"/>
      <c r="BO58" s="182"/>
      <c r="BP58" s="182"/>
      <c r="BQ58" s="185"/>
      <c r="BR58" s="188"/>
      <c r="BS58" s="187"/>
      <c r="BT58" s="187"/>
      <c r="BU58" s="187"/>
      <c r="BV58" s="187"/>
      <c r="BW58" s="187"/>
      <c r="BX58" s="187"/>
      <c r="BY58" s="138"/>
      <c r="BZ58" s="182"/>
      <c r="CA58" s="183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</row>
    <row r="59" spans="1:92" s="181" customFormat="1" ht="10.5" customHeight="1" x14ac:dyDescent="0.25">
      <c r="A59" s="122">
        <v>42</v>
      </c>
      <c r="B59" s="123" t="s">
        <v>357</v>
      </c>
      <c r="C59" s="122" t="s">
        <v>349</v>
      </c>
      <c r="D59" s="124">
        <v>594</v>
      </c>
      <c r="E59" s="125" t="s">
        <v>342</v>
      </c>
      <c r="F59" s="126">
        <v>1.1279999999999999</v>
      </c>
      <c r="G59" s="124">
        <v>23611.1</v>
      </c>
      <c r="H59" s="124">
        <v>22847.4</v>
      </c>
      <c r="I59" s="124">
        <v>19158.199999999997</v>
      </c>
      <c r="J59" s="124">
        <v>1574.5</v>
      </c>
      <c r="K59" s="124">
        <v>0</v>
      </c>
      <c r="L59" s="124">
        <v>159</v>
      </c>
      <c r="M59" s="124">
        <v>1330.5</v>
      </c>
      <c r="N59" s="124">
        <v>0</v>
      </c>
      <c r="O59" s="124">
        <v>10.5</v>
      </c>
      <c r="P59" s="124">
        <v>0</v>
      </c>
      <c r="Q59" s="124">
        <v>44</v>
      </c>
      <c r="R59" s="124">
        <v>1320</v>
      </c>
      <c r="S59" s="124">
        <v>3837.1010782384064</v>
      </c>
      <c r="T59" s="124">
        <v>3837.1010782384064</v>
      </c>
      <c r="U59" s="124">
        <v>0</v>
      </c>
      <c r="V59" s="124">
        <v>1363.89165518</v>
      </c>
      <c r="W59" s="124">
        <v>367.80519309999994</v>
      </c>
      <c r="X59" s="124">
        <v>75.594100000000026</v>
      </c>
      <c r="Y59" s="124">
        <v>920.49236208000002</v>
      </c>
      <c r="Z59" s="124">
        <v>657.10914788000002</v>
      </c>
      <c r="AA59" s="127">
        <v>0.188</v>
      </c>
      <c r="AB59" s="128">
        <v>0</v>
      </c>
      <c r="AC59" s="128">
        <v>120000</v>
      </c>
      <c r="AD59" s="128">
        <v>1600000</v>
      </c>
      <c r="AE59" s="125" t="s">
        <v>352</v>
      </c>
      <c r="AF59" s="129" t="s">
        <v>362</v>
      </c>
      <c r="AG59" s="130">
        <v>648.20605901048498</v>
      </c>
      <c r="AH59" s="130">
        <v>648.20605901048498</v>
      </c>
      <c r="AI59" s="130">
        <v>0</v>
      </c>
      <c r="AJ59" s="130">
        <v>0</v>
      </c>
      <c r="AK59" s="130">
        <v>0</v>
      </c>
      <c r="AL59" s="130">
        <v>0</v>
      </c>
      <c r="AM59" s="138"/>
      <c r="AN59" s="182"/>
      <c r="AO59" s="183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27"/>
      <c r="BK59" s="184"/>
      <c r="BL59" s="184"/>
      <c r="BM59" s="184"/>
      <c r="BN59" s="182"/>
      <c r="BO59" s="182"/>
      <c r="BP59" s="182"/>
      <c r="BQ59" s="185"/>
      <c r="BR59" s="188"/>
      <c r="BS59" s="187"/>
      <c r="BT59" s="187"/>
      <c r="BU59" s="187"/>
      <c r="BV59" s="187"/>
      <c r="BW59" s="187"/>
      <c r="BX59" s="187"/>
      <c r="BY59" s="138"/>
      <c r="BZ59" s="182"/>
      <c r="CA59" s="183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</row>
    <row r="60" spans="1:92" s="181" customFormat="1" ht="10.5" customHeight="1" x14ac:dyDescent="0.25">
      <c r="A60" s="122">
        <v>43</v>
      </c>
      <c r="B60" s="123" t="s">
        <v>112</v>
      </c>
      <c r="C60" s="122" t="s">
        <v>349</v>
      </c>
      <c r="D60" s="124">
        <v>507</v>
      </c>
      <c r="E60" s="125" t="s">
        <v>342</v>
      </c>
      <c r="F60" s="126">
        <v>20.8</v>
      </c>
      <c r="G60" s="124">
        <v>390138.3000000001</v>
      </c>
      <c r="H60" s="124">
        <v>301394.73226187157</v>
      </c>
      <c r="I60" s="124">
        <v>200182.13333333333</v>
      </c>
      <c r="J60" s="124">
        <v>28413.93</v>
      </c>
      <c r="K60" s="124">
        <v>0</v>
      </c>
      <c r="L60" s="124">
        <v>2643</v>
      </c>
      <c r="M60" s="124">
        <v>46290</v>
      </c>
      <c r="N60" s="124">
        <v>0</v>
      </c>
      <c r="O60" s="124">
        <v>0</v>
      </c>
      <c r="P60" s="124">
        <v>0</v>
      </c>
      <c r="Q60" s="124">
        <v>1543</v>
      </c>
      <c r="R60" s="124">
        <v>46290</v>
      </c>
      <c r="S60" s="124">
        <v>0</v>
      </c>
      <c r="T60" s="124">
        <v>0</v>
      </c>
      <c r="U60" s="124">
        <v>0</v>
      </c>
      <c r="V60" s="124">
        <v>803.35706833075778</v>
      </c>
      <c r="W60" s="124">
        <v>98.542417729999997</v>
      </c>
      <c r="X60" s="124">
        <v>704.81465060075777</v>
      </c>
      <c r="Y60" s="124">
        <v>0</v>
      </c>
      <c r="Z60" s="124">
        <v>0</v>
      </c>
      <c r="AA60" s="127">
        <v>0.188</v>
      </c>
      <c r="AB60" s="128">
        <v>0</v>
      </c>
      <c r="AC60" s="128">
        <v>0</v>
      </c>
      <c r="AD60" s="128">
        <v>470000</v>
      </c>
      <c r="AE60" s="125" t="s">
        <v>352</v>
      </c>
      <c r="AF60" s="122">
        <v>2013</v>
      </c>
      <c r="AG60" s="130">
        <v>0</v>
      </c>
      <c r="AH60" s="130">
        <v>0</v>
      </c>
      <c r="AI60" s="130">
        <v>0</v>
      </c>
      <c r="AJ60" s="130">
        <v>0</v>
      </c>
      <c r="AK60" s="130">
        <v>0</v>
      </c>
      <c r="AL60" s="130">
        <v>0</v>
      </c>
      <c r="AM60" s="138"/>
      <c r="AN60" s="182"/>
      <c r="AO60" s="183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27"/>
      <c r="BK60" s="184"/>
      <c r="BL60" s="184"/>
      <c r="BM60" s="184"/>
      <c r="BN60" s="182"/>
      <c r="BO60" s="182"/>
      <c r="BP60" s="182"/>
      <c r="BQ60" s="185"/>
      <c r="BR60" s="186"/>
      <c r="BS60" s="187"/>
      <c r="BT60" s="187"/>
      <c r="BU60" s="187"/>
      <c r="BV60" s="187"/>
      <c r="BW60" s="187"/>
      <c r="BX60" s="187"/>
      <c r="BY60" s="138"/>
      <c r="BZ60" s="182"/>
      <c r="CA60" s="183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</row>
    <row r="61" spans="1:92" s="181" customFormat="1" ht="10.5" customHeight="1" x14ac:dyDescent="0.25">
      <c r="A61" s="122">
        <v>44</v>
      </c>
      <c r="B61" s="123" t="s">
        <v>100</v>
      </c>
      <c r="C61" s="122" t="s">
        <v>349</v>
      </c>
      <c r="D61" s="124">
        <v>386</v>
      </c>
      <c r="E61" s="125" t="s">
        <v>342</v>
      </c>
      <c r="F61" s="126">
        <v>4.2</v>
      </c>
      <c r="G61" s="124">
        <v>27455.700000000004</v>
      </c>
      <c r="H61" s="124">
        <v>27455.700000000004</v>
      </c>
      <c r="I61" s="124">
        <v>21717.5</v>
      </c>
      <c r="J61" s="124">
        <v>2691.7</v>
      </c>
      <c r="K61" s="124">
        <v>0</v>
      </c>
      <c r="L61" s="124">
        <v>226</v>
      </c>
      <c r="M61" s="124">
        <v>586.40000000000009</v>
      </c>
      <c r="N61" s="124">
        <v>0</v>
      </c>
      <c r="O61" s="124">
        <v>586.40000000000009</v>
      </c>
      <c r="P61" s="124">
        <v>0</v>
      </c>
      <c r="Q61" s="124">
        <v>0</v>
      </c>
      <c r="R61" s="124">
        <v>0</v>
      </c>
      <c r="S61" s="124">
        <v>1437.7460739800008</v>
      </c>
      <c r="T61" s="124">
        <v>1437.7460739800008</v>
      </c>
      <c r="U61" s="124">
        <v>0</v>
      </c>
      <c r="V61" s="124">
        <v>438.92538112000005</v>
      </c>
      <c r="W61" s="124">
        <v>366.02706512000003</v>
      </c>
      <c r="X61" s="124">
        <v>72.898316000000023</v>
      </c>
      <c r="Y61" s="124">
        <v>0</v>
      </c>
      <c r="Z61" s="124">
        <v>0</v>
      </c>
      <c r="AA61" s="127">
        <v>0.188</v>
      </c>
      <c r="AB61" s="128">
        <v>0</v>
      </c>
      <c r="AC61" s="128">
        <v>141000</v>
      </c>
      <c r="AD61" s="128">
        <v>0</v>
      </c>
      <c r="AE61" s="125" t="s">
        <v>352</v>
      </c>
      <c r="AF61" s="122">
        <v>2020</v>
      </c>
      <c r="AG61" s="130">
        <v>1059.2840531999998</v>
      </c>
      <c r="AH61" s="130">
        <v>1059.2840531999998</v>
      </c>
      <c r="AI61" s="130">
        <v>0</v>
      </c>
      <c r="AJ61" s="130">
        <v>0</v>
      </c>
      <c r="AK61" s="130">
        <v>0</v>
      </c>
      <c r="AL61" s="130">
        <v>0</v>
      </c>
      <c r="AM61" s="138"/>
      <c r="AN61" s="182"/>
      <c r="AO61" s="183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27"/>
      <c r="BK61" s="184"/>
      <c r="BL61" s="184"/>
      <c r="BM61" s="184"/>
      <c r="BN61" s="182"/>
      <c r="BO61" s="182"/>
      <c r="BP61" s="182"/>
      <c r="BQ61" s="185"/>
      <c r="BR61" s="186"/>
      <c r="BS61" s="187"/>
      <c r="BT61" s="187"/>
      <c r="BU61" s="187"/>
      <c r="BV61" s="187"/>
      <c r="BW61" s="187"/>
      <c r="BX61" s="187"/>
      <c r="BY61" s="138"/>
      <c r="BZ61" s="182"/>
      <c r="CA61" s="183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</row>
    <row r="62" spans="1:92" s="181" customFormat="1" ht="10.5" customHeight="1" x14ac:dyDescent="0.25">
      <c r="A62" s="122">
        <v>45</v>
      </c>
      <c r="B62" s="123" t="s">
        <v>416</v>
      </c>
      <c r="C62" s="122" t="s">
        <v>349</v>
      </c>
      <c r="D62" s="124">
        <v>342</v>
      </c>
      <c r="E62" s="125" t="s">
        <v>342</v>
      </c>
      <c r="F62" s="126">
        <v>2.8</v>
      </c>
      <c r="G62" s="124">
        <v>52544.4</v>
      </c>
      <c r="H62" s="124">
        <v>52544.4</v>
      </c>
      <c r="I62" s="124">
        <v>45849.9</v>
      </c>
      <c r="J62" s="124">
        <v>1016.6</v>
      </c>
      <c r="K62" s="124">
        <v>0</v>
      </c>
      <c r="L62" s="124">
        <v>426</v>
      </c>
      <c r="M62" s="124">
        <v>422.4</v>
      </c>
      <c r="N62" s="124">
        <v>182.4</v>
      </c>
      <c r="O62" s="124">
        <v>0</v>
      </c>
      <c r="P62" s="124">
        <v>0</v>
      </c>
      <c r="Q62" s="124">
        <v>8</v>
      </c>
      <c r="R62" s="124">
        <v>240</v>
      </c>
      <c r="S62" s="124">
        <v>3299.7408329400009</v>
      </c>
      <c r="T62" s="124">
        <v>3299.7408329400009</v>
      </c>
      <c r="U62" s="124">
        <v>0</v>
      </c>
      <c r="V62" s="124">
        <v>409.37350772999997</v>
      </c>
      <c r="W62" s="124">
        <v>350.58190773000001</v>
      </c>
      <c r="X62" s="124">
        <v>58.79159999999996</v>
      </c>
      <c r="Y62" s="124">
        <v>0</v>
      </c>
      <c r="Z62" s="124">
        <v>0</v>
      </c>
      <c r="AA62" s="127">
        <v>0.188</v>
      </c>
      <c r="AB62" s="128">
        <v>275000</v>
      </c>
      <c r="AC62" s="128">
        <v>0</v>
      </c>
      <c r="AD62" s="128">
        <v>810000</v>
      </c>
      <c r="AE62" s="125" t="s">
        <v>352</v>
      </c>
      <c r="AF62" s="122">
        <v>2021</v>
      </c>
      <c r="AG62" s="130">
        <v>1723.9431715700005</v>
      </c>
      <c r="AH62" s="130">
        <v>1723.9431715700005</v>
      </c>
      <c r="AI62" s="130">
        <v>0</v>
      </c>
      <c r="AJ62" s="130">
        <v>0</v>
      </c>
      <c r="AK62" s="130">
        <v>0</v>
      </c>
      <c r="AL62" s="130">
        <v>0</v>
      </c>
      <c r="AM62" s="138"/>
      <c r="AN62" s="182"/>
      <c r="AO62" s="183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27"/>
      <c r="BK62" s="184"/>
      <c r="BL62" s="184"/>
      <c r="BM62" s="184"/>
      <c r="BN62" s="182"/>
      <c r="BO62" s="182"/>
      <c r="BP62" s="182"/>
      <c r="BQ62" s="185"/>
      <c r="BR62" s="186"/>
      <c r="BS62" s="187"/>
      <c r="BT62" s="187"/>
      <c r="BU62" s="187"/>
      <c r="BV62" s="187"/>
      <c r="BW62" s="187"/>
      <c r="BX62" s="187"/>
      <c r="BY62" s="138"/>
      <c r="BZ62" s="182"/>
      <c r="CA62" s="183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</row>
    <row r="63" spans="1:92" s="181" customFormat="1" ht="10.5" customHeight="1" x14ac:dyDescent="0.25">
      <c r="A63" s="122">
        <v>46</v>
      </c>
      <c r="B63" s="123" t="s">
        <v>96</v>
      </c>
      <c r="C63" s="122" t="s">
        <v>349</v>
      </c>
      <c r="D63" s="124">
        <v>258</v>
      </c>
      <c r="E63" s="125" t="s">
        <v>342</v>
      </c>
      <c r="F63" s="126">
        <v>1.5</v>
      </c>
      <c r="G63" s="124">
        <v>36711.599999999999</v>
      </c>
      <c r="H63" s="124">
        <v>36711.599999999999</v>
      </c>
      <c r="I63" s="124">
        <v>28388.9</v>
      </c>
      <c r="J63" s="124">
        <v>3169.6000000000004</v>
      </c>
      <c r="K63" s="124">
        <v>0</v>
      </c>
      <c r="L63" s="124">
        <v>416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3175.125490150001</v>
      </c>
      <c r="T63" s="124">
        <v>3175.125490150001</v>
      </c>
      <c r="U63" s="124">
        <v>0</v>
      </c>
      <c r="V63" s="124">
        <v>368.32468469000003</v>
      </c>
      <c r="W63" s="124">
        <v>368.32468469000003</v>
      </c>
      <c r="X63" s="124">
        <v>0</v>
      </c>
      <c r="Y63" s="124">
        <v>0</v>
      </c>
      <c r="Z63" s="124">
        <v>0</v>
      </c>
      <c r="AA63" s="127">
        <v>0.188</v>
      </c>
      <c r="AB63" s="128">
        <v>0</v>
      </c>
      <c r="AC63" s="128">
        <v>0</v>
      </c>
      <c r="AD63" s="128">
        <v>0</v>
      </c>
      <c r="AE63" s="125" t="s">
        <v>352</v>
      </c>
      <c r="AF63" s="122">
        <v>2020</v>
      </c>
      <c r="AG63" s="130">
        <v>1568.10629668</v>
      </c>
      <c r="AH63" s="130">
        <v>1568.10629668</v>
      </c>
      <c r="AI63" s="130">
        <v>0</v>
      </c>
      <c r="AJ63" s="130">
        <v>0</v>
      </c>
      <c r="AK63" s="130">
        <v>0</v>
      </c>
      <c r="AL63" s="130">
        <v>0</v>
      </c>
      <c r="AM63" s="138"/>
      <c r="AN63" s="182"/>
      <c r="AO63" s="183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27"/>
      <c r="BK63" s="184"/>
      <c r="BL63" s="184"/>
      <c r="BM63" s="184"/>
      <c r="BN63" s="182"/>
      <c r="BO63" s="182"/>
      <c r="BP63" s="182"/>
      <c r="BQ63" s="185"/>
      <c r="BR63" s="186"/>
      <c r="BS63" s="187"/>
      <c r="BT63" s="187"/>
      <c r="BU63" s="187"/>
      <c r="BV63" s="187"/>
      <c r="BW63" s="187"/>
      <c r="BX63" s="187"/>
      <c r="BY63" s="138"/>
      <c r="BZ63" s="182"/>
      <c r="CA63" s="183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</row>
    <row r="64" spans="1:92" s="181" customFormat="1" ht="10.5" customHeight="1" x14ac:dyDescent="0.25">
      <c r="A64" s="122">
        <v>47</v>
      </c>
      <c r="B64" s="123" t="s">
        <v>101</v>
      </c>
      <c r="C64" s="122" t="s">
        <v>349</v>
      </c>
      <c r="D64" s="124">
        <v>269</v>
      </c>
      <c r="E64" s="125" t="s">
        <v>342</v>
      </c>
      <c r="F64" s="126">
        <v>8.4</v>
      </c>
      <c r="G64" s="124">
        <v>209262.00000000003</v>
      </c>
      <c r="H64" s="124">
        <v>204053.40000000002</v>
      </c>
      <c r="I64" s="124">
        <v>136762.6</v>
      </c>
      <c r="J64" s="124">
        <v>14494.400000000001</v>
      </c>
      <c r="K64" s="124">
        <v>0</v>
      </c>
      <c r="L64" s="124">
        <v>884</v>
      </c>
      <c r="M64" s="124">
        <v>22177.8</v>
      </c>
      <c r="N64" s="124">
        <v>0</v>
      </c>
      <c r="O64" s="124">
        <v>97.8</v>
      </c>
      <c r="P64" s="124">
        <v>0</v>
      </c>
      <c r="Q64" s="124">
        <v>736</v>
      </c>
      <c r="R64" s="124">
        <v>22080</v>
      </c>
      <c r="S64" s="124">
        <v>0</v>
      </c>
      <c r="T64" s="124">
        <v>0</v>
      </c>
      <c r="U64" s="124">
        <v>0</v>
      </c>
      <c r="V64" s="124">
        <v>419.70249378593081</v>
      </c>
      <c r="W64" s="124">
        <v>50.860101280000002</v>
      </c>
      <c r="X64" s="124">
        <v>368.84239250593083</v>
      </c>
      <c r="Y64" s="124">
        <v>0</v>
      </c>
      <c r="Z64" s="124">
        <v>0</v>
      </c>
      <c r="AA64" s="127">
        <v>0.188</v>
      </c>
      <c r="AB64" s="128">
        <v>0</v>
      </c>
      <c r="AC64" s="128">
        <v>240000</v>
      </c>
      <c r="AD64" s="128">
        <v>480000</v>
      </c>
      <c r="AE64" s="125" t="s">
        <v>352</v>
      </c>
      <c r="AF64" s="122">
        <v>2015</v>
      </c>
      <c r="AG64" s="130">
        <v>0</v>
      </c>
      <c r="AH64" s="130">
        <v>0</v>
      </c>
      <c r="AI64" s="130">
        <v>0</v>
      </c>
      <c r="AJ64" s="130">
        <v>0</v>
      </c>
      <c r="AK64" s="130">
        <v>0</v>
      </c>
      <c r="AL64" s="130">
        <v>0</v>
      </c>
      <c r="AM64" s="138"/>
      <c r="AN64" s="182"/>
      <c r="AO64" s="183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27"/>
      <c r="BK64" s="184"/>
      <c r="BL64" s="184"/>
      <c r="BM64" s="184"/>
      <c r="BN64" s="182"/>
      <c r="BO64" s="182"/>
      <c r="BP64" s="182"/>
      <c r="BQ64" s="185"/>
      <c r="BR64" s="186"/>
      <c r="BS64" s="187"/>
      <c r="BT64" s="187"/>
      <c r="BU64" s="187"/>
      <c r="BV64" s="187"/>
      <c r="BW64" s="187"/>
      <c r="BX64" s="187"/>
      <c r="BY64" s="138"/>
      <c r="BZ64" s="182"/>
      <c r="CA64" s="183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</row>
    <row r="65" spans="1:92" s="181" customFormat="1" ht="10.5" customHeight="1" x14ac:dyDescent="0.25">
      <c r="A65" s="122">
        <v>48</v>
      </c>
      <c r="B65" s="123" t="s">
        <v>380</v>
      </c>
      <c r="C65" s="122" t="s">
        <v>349</v>
      </c>
      <c r="D65" s="124">
        <v>220</v>
      </c>
      <c r="E65" s="125" t="s">
        <v>94</v>
      </c>
      <c r="F65" s="126" t="s">
        <v>94</v>
      </c>
      <c r="G65" s="124">
        <v>23040</v>
      </c>
      <c r="H65" s="124">
        <v>23040</v>
      </c>
      <c r="I65" s="124">
        <v>0</v>
      </c>
      <c r="J65" s="124">
        <v>0</v>
      </c>
      <c r="K65" s="124">
        <v>0</v>
      </c>
      <c r="L65" s="124">
        <v>768</v>
      </c>
      <c r="M65" s="124">
        <v>5550</v>
      </c>
      <c r="N65" s="124">
        <v>0</v>
      </c>
      <c r="O65" s="124">
        <v>0</v>
      </c>
      <c r="P65" s="124">
        <v>0</v>
      </c>
      <c r="Q65" s="124">
        <v>185</v>
      </c>
      <c r="R65" s="124">
        <v>5550</v>
      </c>
      <c r="S65" s="124">
        <v>0</v>
      </c>
      <c r="T65" s="124">
        <v>0</v>
      </c>
      <c r="U65" s="124">
        <v>0</v>
      </c>
      <c r="V65" s="124">
        <v>316.61604257720006</v>
      </c>
      <c r="W65" s="124">
        <v>49.764681589999995</v>
      </c>
      <c r="X65" s="124">
        <v>266.85136098720005</v>
      </c>
      <c r="Y65" s="124">
        <v>0</v>
      </c>
      <c r="Z65" s="124">
        <v>0</v>
      </c>
      <c r="AA65" s="127">
        <v>0.188</v>
      </c>
      <c r="AB65" s="128">
        <v>0</v>
      </c>
      <c r="AC65" s="128">
        <v>0</v>
      </c>
      <c r="AD65" s="128">
        <v>1530000</v>
      </c>
      <c r="AE65" s="125" t="s">
        <v>352</v>
      </c>
      <c r="AF65" s="129" t="s">
        <v>94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8"/>
      <c r="AN65" s="182"/>
      <c r="AO65" s="183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27"/>
      <c r="BK65" s="184"/>
      <c r="BL65" s="184"/>
      <c r="BM65" s="184"/>
      <c r="BN65" s="182"/>
      <c r="BO65" s="182"/>
      <c r="BP65" s="182"/>
      <c r="BQ65" s="185"/>
      <c r="BR65" s="188"/>
      <c r="BS65" s="187"/>
      <c r="BT65" s="187"/>
      <c r="BU65" s="187"/>
      <c r="BV65" s="187"/>
      <c r="BW65" s="187"/>
      <c r="BX65" s="187"/>
      <c r="BY65" s="138"/>
      <c r="BZ65" s="182"/>
      <c r="CA65" s="183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</row>
    <row r="66" spans="1:92" s="181" customFormat="1" ht="21" x14ac:dyDescent="0.25">
      <c r="A66" s="122">
        <v>49</v>
      </c>
      <c r="B66" s="123" t="s">
        <v>99</v>
      </c>
      <c r="C66" s="122" t="s">
        <v>349</v>
      </c>
      <c r="D66" s="124">
        <v>159</v>
      </c>
      <c r="E66" s="125" t="s">
        <v>378</v>
      </c>
      <c r="F66" s="126">
        <v>12.7</v>
      </c>
      <c r="G66" s="124">
        <v>225597.19999999992</v>
      </c>
      <c r="H66" s="124">
        <v>201155.4</v>
      </c>
      <c r="I66" s="124">
        <v>159702.40000000002</v>
      </c>
      <c r="J66" s="124">
        <v>8503.5</v>
      </c>
      <c r="K66" s="124">
        <v>0</v>
      </c>
      <c r="L66" s="124">
        <v>869</v>
      </c>
      <c r="M66" s="124">
        <v>3030</v>
      </c>
      <c r="N66" s="124">
        <v>0</v>
      </c>
      <c r="O66" s="124">
        <v>0</v>
      </c>
      <c r="P66" s="124">
        <v>0</v>
      </c>
      <c r="Q66" s="124">
        <v>101</v>
      </c>
      <c r="R66" s="124">
        <v>3030</v>
      </c>
      <c r="S66" s="124">
        <v>0</v>
      </c>
      <c r="T66" s="124">
        <v>0</v>
      </c>
      <c r="U66" s="124">
        <v>0</v>
      </c>
      <c r="V66" s="124">
        <v>192.14292916333332</v>
      </c>
      <c r="W66" s="124">
        <v>111.10894583000001</v>
      </c>
      <c r="X66" s="124">
        <v>81.03398333333331</v>
      </c>
      <c r="Y66" s="124">
        <v>0</v>
      </c>
      <c r="Z66" s="124">
        <v>0</v>
      </c>
      <c r="AA66" s="127">
        <v>0.188</v>
      </c>
      <c r="AB66" s="128">
        <v>0</v>
      </c>
      <c r="AC66" s="128">
        <v>0</v>
      </c>
      <c r="AD66" s="128">
        <v>910000</v>
      </c>
      <c r="AE66" s="125" t="s">
        <v>352</v>
      </c>
      <c r="AF66" s="129" t="s">
        <v>379</v>
      </c>
      <c r="AG66" s="130">
        <v>0</v>
      </c>
      <c r="AH66" s="130">
        <v>0</v>
      </c>
      <c r="AI66" s="130">
        <v>0</v>
      </c>
      <c r="AJ66" s="130">
        <v>0</v>
      </c>
      <c r="AK66" s="130">
        <v>0</v>
      </c>
      <c r="AL66" s="130">
        <v>0</v>
      </c>
      <c r="AM66" s="138"/>
      <c r="AN66" s="182"/>
      <c r="AO66" s="183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27"/>
      <c r="BK66" s="184"/>
      <c r="BL66" s="184"/>
      <c r="BM66" s="184"/>
      <c r="BN66" s="182"/>
      <c r="BO66" s="182"/>
      <c r="BP66" s="182"/>
      <c r="BQ66" s="185"/>
      <c r="BR66" s="188"/>
      <c r="BS66" s="187"/>
      <c r="BT66" s="187"/>
      <c r="BU66" s="187"/>
      <c r="BV66" s="187"/>
      <c r="BW66" s="187"/>
      <c r="BX66" s="187"/>
      <c r="BY66" s="138"/>
      <c r="BZ66" s="182"/>
      <c r="CA66" s="183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</row>
    <row r="67" spans="1:92" s="181" customFormat="1" ht="10.5" customHeight="1" x14ac:dyDescent="0.25">
      <c r="A67" s="122">
        <v>50</v>
      </c>
      <c r="B67" s="123" t="s">
        <v>358</v>
      </c>
      <c r="C67" s="122" t="s">
        <v>349</v>
      </c>
      <c r="D67" s="124">
        <v>62</v>
      </c>
      <c r="E67" s="125" t="s">
        <v>342</v>
      </c>
      <c r="F67" s="126">
        <v>0.24959999999999999</v>
      </c>
      <c r="G67" s="124">
        <v>6821.7</v>
      </c>
      <c r="H67" s="124">
        <v>6821.7</v>
      </c>
      <c r="I67" s="124">
        <v>5755.3</v>
      </c>
      <c r="J67" s="124">
        <v>504.5</v>
      </c>
      <c r="K67" s="124">
        <v>0</v>
      </c>
      <c r="L67" s="124">
        <v>41</v>
      </c>
      <c r="M67" s="124">
        <v>131.69999999999999</v>
      </c>
      <c r="N67" s="124">
        <v>71.7</v>
      </c>
      <c r="O67" s="124">
        <v>0</v>
      </c>
      <c r="P67" s="124">
        <v>0</v>
      </c>
      <c r="Q67" s="124">
        <v>2</v>
      </c>
      <c r="R67" s="124">
        <v>60</v>
      </c>
      <c r="S67" s="124">
        <v>0</v>
      </c>
      <c r="T67" s="124">
        <v>0</v>
      </c>
      <c r="U67" s="124">
        <v>0</v>
      </c>
      <c r="V67" s="124">
        <v>70.147387000000009</v>
      </c>
      <c r="W67" s="124">
        <v>42.865757000000002</v>
      </c>
      <c r="X67" s="124">
        <v>27.281630000000007</v>
      </c>
      <c r="Y67" s="124">
        <v>0</v>
      </c>
      <c r="Z67" s="124">
        <v>0</v>
      </c>
      <c r="AA67" s="127">
        <v>0.188</v>
      </c>
      <c r="AB67" s="128">
        <v>308000</v>
      </c>
      <c r="AC67" s="128">
        <v>0</v>
      </c>
      <c r="AD67" s="128">
        <v>1850000</v>
      </c>
      <c r="AE67" s="125" t="s">
        <v>352</v>
      </c>
      <c r="AF67" s="122">
        <v>2023</v>
      </c>
      <c r="AG67" s="130">
        <v>0</v>
      </c>
      <c r="AH67" s="130">
        <v>0</v>
      </c>
      <c r="AI67" s="130">
        <v>0</v>
      </c>
      <c r="AJ67" s="130">
        <v>0</v>
      </c>
      <c r="AK67" s="130">
        <v>0</v>
      </c>
      <c r="AL67" s="130">
        <v>0</v>
      </c>
      <c r="AM67" s="138"/>
      <c r="AN67" s="182"/>
      <c r="AO67" s="183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27"/>
      <c r="BK67" s="184"/>
      <c r="BL67" s="184"/>
      <c r="BM67" s="184"/>
      <c r="BN67" s="182"/>
      <c r="BO67" s="182"/>
      <c r="BP67" s="182"/>
      <c r="BQ67" s="185"/>
      <c r="BR67" s="186"/>
      <c r="BS67" s="187"/>
      <c r="BT67" s="187"/>
      <c r="BU67" s="187"/>
      <c r="BV67" s="187"/>
      <c r="BW67" s="187"/>
      <c r="BX67" s="187"/>
      <c r="BY67" s="138"/>
      <c r="BZ67" s="182"/>
      <c r="CA67" s="183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</row>
    <row r="68" spans="1:92" s="181" customFormat="1" ht="10.5" customHeight="1" x14ac:dyDescent="0.25">
      <c r="A68" s="133"/>
      <c r="B68" s="134" t="s">
        <v>476</v>
      </c>
      <c r="C68" s="133"/>
      <c r="D68" s="135">
        <v>28556</v>
      </c>
      <c r="E68" s="133"/>
      <c r="F68" s="133"/>
      <c r="G68" s="135">
        <v>2460314.7338144328</v>
      </c>
      <c r="H68" s="135">
        <v>2271060.9660763047</v>
      </c>
      <c r="I68" s="135">
        <v>1796761.7333333332</v>
      </c>
      <c r="J68" s="135">
        <v>135532.23000000001</v>
      </c>
      <c r="K68" s="135">
        <v>0</v>
      </c>
      <c r="L68" s="135">
        <v>13396</v>
      </c>
      <c r="M68" s="135">
        <v>181793.49999999997</v>
      </c>
      <c r="N68" s="135">
        <v>64485.7</v>
      </c>
      <c r="O68" s="135">
        <v>3455.2000000000003</v>
      </c>
      <c r="P68" s="135">
        <v>0</v>
      </c>
      <c r="Q68" s="135">
        <v>4197</v>
      </c>
      <c r="R68" s="135">
        <v>113852.6</v>
      </c>
      <c r="S68" s="135">
        <v>66144.347596961758</v>
      </c>
      <c r="T68" s="135">
        <v>65065.022161191941</v>
      </c>
      <c r="U68" s="135">
        <v>1079.3254357698131</v>
      </c>
      <c r="V68" s="135">
        <v>36227.338709050862</v>
      </c>
      <c r="W68" s="135">
        <v>11654.40055948</v>
      </c>
      <c r="X68" s="135">
        <v>23652.445787490858</v>
      </c>
      <c r="Y68" s="135">
        <v>920.49236208000002</v>
      </c>
      <c r="Z68" s="135">
        <v>657.10914788000002</v>
      </c>
      <c r="AA68" s="136"/>
      <c r="AB68" s="135"/>
      <c r="AC68" s="135"/>
      <c r="AD68" s="135"/>
      <c r="AE68" s="136"/>
      <c r="AF68" s="136"/>
      <c r="AG68" s="137">
        <v>10769.331923830636</v>
      </c>
      <c r="AH68" s="137">
        <v>10769.065996670637</v>
      </c>
      <c r="AI68" s="137">
        <v>0.26592716000004657</v>
      </c>
      <c r="AJ68" s="137">
        <v>0</v>
      </c>
      <c r="AK68" s="137">
        <v>0.24398013943580013</v>
      </c>
      <c r="AL68" s="137">
        <v>0</v>
      </c>
      <c r="AM68" s="189"/>
      <c r="AN68" s="190"/>
      <c r="AO68" s="190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91"/>
      <c r="BK68" s="189"/>
      <c r="BL68" s="189"/>
      <c r="BM68" s="189"/>
      <c r="BN68" s="191"/>
      <c r="BO68" s="191"/>
      <c r="BP68" s="191"/>
      <c r="BQ68" s="191"/>
      <c r="BR68" s="191"/>
      <c r="BS68" s="192"/>
      <c r="BT68" s="192"/>
      <c r="BU68" s="192"/>
      <c r="BV68" s="192"/>
      <c r="BW68" s="192"/>
      <c r="BX68" s="192"/>
      <c r="BY68" s="189"/>
      <c r="BZ68" s="190"/>
      <c r="CA68" s="190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</row>
    <row r="69" spans="1:92" s="181" customFormat="1" ht="10.5" customHeight="1" x14ac:dyDescent="0.25">
      <c r="A69" s="172"/>
      <c r="B69" s="119" t="s">
        <v>477</v>
      </c>
      <c r="C69" s="172"/>
      <c r="D69" s="171"/>
      <c r="E69" s="172"/>
      <c r="F69" s="172"/>
      <c r="G69" s="172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71"/>
      <c r="T69" s="171"/>
      <c r="U69" s="171"/>
      <c r="V69" s="171"/>
      <c r="W69" s="171"/>
      <c r="X69" s="171"/>
      <c r="Y69" s="171"/>
      <c r="Z69" s="171"/>
      <c r="AA69" s="171"/>
      <c r="AB69" s="120"/>
      <c r="AC69" s="120"/>
      <c r="AD69" s="120"/>
      <c r="AE69" s="171"/>
      <c r="AF69" s="171"/>
      <c r="AG69" s="171"/>
      <c r="AH69" s="171"/>
      <c r="AI69" s="121"/>
      <c r="AJ69" s="121"/>
      <c r="AK69" s="121"/>
      <c r="AL69" s="121"/>
      <c r="AM69" s="175"/>
      <c r="AN69" s="176"/>
      <c r="AO69" s="176"/>
      <c r="AP69" s="176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5"/>
      <c r="BC69" s="175"/>
      <c r="BD69" s="175"/>
      <c r="BE69" s="175"/>
      <c r="BF69" s="175"/>
      <c r="BG69" s="175"/>
      <c r="BH69" s="175"/>
      <c r="BI69" s="175"/>
      <c r="BJ69" s="175"/>
      <c r="BK69" s="178"/>
      <c r="BL69" s="178"/>
      <c r="BM69" s="178"/>
      <c r="BN69" s="175"/>
      <c r="BO69" s="179"/>
      <c r="BP69" s="179"/>
      <c r="BQ69" s="179"/>
      <c r="BR69" s="175"/>
      <c r="BS69" s="175"/>
      <c r="BT69" s="175"/>
      <c r="BU69" s="180"/>
      <c r="BV69" s="180"/>
      <c r="BW69" s="180"/>
      <c r="BX69" s="180"/>
      <c r="BY69" s="175"/>
      <c r="BZ69" s="176"/>
      <c r="CA69" s="176"/>
      <c r="CB69" s="176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5"/>
    </row>
    <row r="70" spans="1:92" s="181" customFormat="1" ht="10.5" customHeight="1" x14ac:dyDescent="0.25">
      <c r="A70" s="122">
        <v>51</v>
      </c>
      <c r="B70" s="123" t="s">
        <v>369</v>
      </c>
      <c r="C70" s="122" t="s">
        <v>366</v>
      </c>
      <c r="D70" s="124">
        <v>592</v>
      </c>
      <c r="E70" s="125" t="s">
        <v>342</v>
      </c>
      <c r="F70" s="126">
        <v>3.9613</v>
      </c>
      <c r="G70" s="124">
        <v>21983</v>
      </c>
      <c r="H70" s="124">
        <v>21983</v>
      </c>
      <c r="I70" s="124">
        <v>15679.150000000001</v>
      </c>
      <c r="J70" s="124">
        <v>207.65</v>
      </c>
      <c r="K70" s="124">
        <v>0</v>
      </c>
      <c r="L70" s="124">
        <v>449</v>
      </c>
      <c r="M70" s="124">
        <v>468.5</v>
      </c>
      <c r="N70" s="124">
        <v>271.8</v>
      </c>
      <c r="O70" s="124">
        <v>196.7</v>
      </c>
      <c r="P70" s="124">
        <v>0</v>
      </c>
      <c r="Q70" s="124">
        <v>0</v>
      </c>
      <c r="R70" s="124">
        <v>0</v>
      </c>
      <c r="S70" s="124">
        <v>1678.4914105974156</v>
      </c>
      <c r="T70" s="124">
        <v>1662.545437245007</v>
      </c>
      <c r="U70" s="124">
        <v>15.945973352408618</v>
      </c>
      <c r="V70" s="124">
        <v>1502.5837556666665</v>
      </c>
      <c r="W70" s="124">
        <v>104.36653</v>
      </c>
      <c r="X70" s="124">
        <v>97.40036166666664</v>
      </c>
      <c r="Y70" s="124">
        <v>1300.8168639999999</v>
      </c>
      <c r="Z70" s="124">
        <v>837.79762995999999</v>
      </c>
      <c r="AA70" s="127">
        <v>0.188</v>
      </c>
      <c r="AB70" s="128">
        <v>200000</v>
      </c>
      <c r="AC70" s="128">
        <v>230000</v>
      </c>
      <c r="AD70" s="128">
        <v>0</v>
      </c>
      <c r="AE70" s="125" t="s">
        <v>352</v>
      </c>
      <c r="AF70" s="129" t="s">
        <v>353</v>
      </c>
      <c r="AG70" s="130">
        <v>62.306883960210307</v>
      </c>
      <c r="AH70" s="130">
        <v>62.306883960210307</v>
      </c>
      <c r="AI70" s="130">
        <v>0</v>
      </c>
      <c r="AJ70" s="130">
        <v>0</v>
      </c>
      <c r="AK70" s="130">
        <v>0</v>
      </c>
      <c r="AL70" s="130">
        <v>0</v>
      </c>
      <c r="AM70" s="138"/>
      <c r="AN70" s="182"/>
      <c r="AO70" s="183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27"/>
      <c r="BK70" s="184"/>
      <c r="BL70" s="184"/>
      <c r="BM70" s="184"/>
      <c r="BN70" s="182"/>
      <c r="BO70" s="182"/>
      <c r="BP70" s="182"/>
      <c r="BQ70" s="185"/>
      <c r="BR70" s="188"/>
      <c r="BS70" s="187"/>
      <c r="BT70" s="187"/>
      <c r="BU70" s="187"/>
      <c r="BV70" s="187"/>
      <c r="BW70" s="187"/>
      <c r="BX70" s="187"/>
      <c r="BY70" s="138"/>
      <c r="BZ70" s="182"/>
      <c r="CA70" s="183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</row>
    <row r="71" spans="1:92" s="181" customFormat="1" ht="10.5" customHeight="1" x14ac:dyDescent="0.25">
      <c r="A71" s="122">
        <v>52</v>
      </c>
      <c r="B71" s="123" t="s">
        <v>417</v>
      </c>
      <c r="C71" s="122" t="s">
        <v>299</v>
      </c>
      <c r="D71" s="124">
        <v>101</v>
      </c>
      <c r="E71" s="125" t="s">
        <v>342</v>
      </c>
      <c r="F71" s="126" t="s">
        <v>94</v>
      </c>
      <c r="G71" s="124">
        <v>3559.7000000000003</v>
      </c>
      <c r="H71" s="124">
        <v>3559.7000000000003</v>
      </c>
      <c r="I71" s="124">
        <v>3373.3</v>
      </c>
      <c r="J71" s="124">
        <v>195.8</v>
      </c>
      <c r="K71" s="124">
        <v>0</v>
      </c>
      <c r="L71" s="124">
        <v>0</v>
      </c>
      <c r="M71" s="124">
        <v>462.2</v>
      </c>
      <c r="N71" s="124">
        <v>266.39999999999998</v>
      </c>
      <c r="O71" s="124">
        <v>195.8</v>
      </c>
      <c r="P71" s="124">
        <v>0</v>
      </c>
      <c r="Q71" s="124">
        <v>0</v>
      </c>
      <c r="R71" s="124">
        <v>0</v>
      </c>
      <c r="S71" s="124">
        <v>231.93137706043436</v>
      </c>
      <c r="T71" s="124">
        <v>231.93137706043436</v>
      </c>
      <c r="U71" s="124">
        <v>0</v>
      </c>
      <c r="V71" s="124">
        <v>113.02817133333333</v>
      </c>
      <c r="W71" s="124">
        <v>50.524529000000001</v>
      </c>
      <c r="X71" s="124">
        <v>62.503642333333332</v>
      </c>
      <c r="Y71" s="124">
        <v>0</v>
      </c>
      <c r="Z71" s="124">
        <v>0</v>
      </c>
      <c r="AA71" s="127">
        <v>0.188</v>
      </c>
      <c r="AB71" s="128">
        <v>155000</v>
      </c>
      <c r="AC71" s="128">
        <v>109000</v>
      </c>
      <c r="AD71" s="128">
        <v>0</v>
      </c>
      <c r="AE71" s="125" t="s">
        <v>352</v>
      </c>
      <c r="AF71" s="129" t="s">
        <v>94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8"/>
      <c r="AN71" s="182"/>
      <c r="AO71" s="183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27"/>
      <c r="BK71" s="184"/>
      <c r="BL71" s="184"/>
      <c r="BM71" s="184"/>
      <c r="BN71" s="182"/>
      <c r="BO71" s="182"/>
      <c r="BP71" s="182"/>
      <c r="BQ71" s="185"/>
      <c r="BR71" s="188"/>
      <c r="BS71" s="187"/>
      <c r="BT71" s="187"/>
      <c r="BU71" s="187"/>
      <c r="BV71" s="187"/>
      <c r="BW71" s="187"/>
      <c r="BX71" s="187"/>
      <c r="BY71" s="138"/>
      <c r="BZ71" s="182"/>
      <c r="CA71" s="183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</row>
    <row r="72" spans="1:92" s="181" customFormat="1" ht="10.5" customHeight="1" x14ac:dyDescent="0.25">
      <c r="A72" s="133"/>
      <c r="B72" s="134" t="s">
        <v>478</v>
      </c>
      <c r="C72" s="133"/>
      <c r="D72" s="135">
        <v>693</v>
      </c>
      <c r="E72" s="133"/>
      <c r="F72" s="133"/>
      <c r="G72" s="135">
        <v>25542.7</v>
      </c>
      <c r="H72" s="135">
        <v>25542.7</v>
      </c>
      <c r="I72" s="135">
        <v>19052.45</v>
      </c>
      <c r="J72" s="135">
        <v>403.45000000000005</v>
      </c>
      <c r="K72" s="135">
        <v>0</v>
      </c>
      <c r="L72" s="135">
        <v>449</v>
      </c>
      <c r="M72" s="135">
        <v>930.7</v>
      </c>
      <c r="N72" s="135">
        <v>538.20000000000005</v>
      </c>
      <c r="O72" s="135">
        <v>392.5</v>
      </c>
      <c r="P72" s="135">
        <v>0</v>
      </c>
      <c r="Q72" s="135">
        <v>0</v>
      </c>
      <c r="R72" s="135">
        <v>0</v>
      </c>
      <c r="S72" s="135">
        <v>1910.42278765785</v>
      </c>
      <c r="T72" s="135">
        <v>1894.4768143054414</v>
      </c>
      <c r="U72" s="135">
        <v>15.945973352408618</v>
      </c>
      <c r="V72" s="135">
        <v>1615.6119269999999</v>
      </c>
      <c r="W72" s="135">
        <v>154.89105899999998</v>
      </c>
      <c r="X72" s="135">
        <v>159.90400399999999</v>
      </c>
      <c r="Y72" s="135">
        <v>1300.8168639999999</v>
      </c>
      <c r="Z72" s="135">
        <v>837.79762995999999</v>
      </c>
      <c r="AA72" s="136"/>
      <c r="AB72" s="135"/>
      <c r="AC72" s="135"/>
      <c r="AD72" s="135"/>
      <c r="AE72" s="136"/>
      <c r="AF72" s="136"/>
      <c r="AG72" s="137">
        <v>62.306883960210307</v>
      </c>
      <c r="AH72" s="137">
        <v>62.306883960210307</v>
      </c>
      <c r="AI72" s="137">
        <v>0</v>
      </c>
      <c r="AJ72" s="137">
        <v>0</v>
      </c>
      <c r="AK72" s="137">
        <v>0</v>
      </c>
      <c r="AL72" s="137">
        <v>0</v>
      </c>
      <c r="AM72" s="189"/>
      <c r="AN72" s="190"/>
      <c r="AO72" s="190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91"/>
      <c r="BK72" s="189"/>
      <c r="BL72" s="189"/>
      <c r="BM72" s="189"/>
      <c r="BN72" s="191"/>
      <c r="BO72" s="191"/>
      <c r="BP72" s="191"/>
      <c r="BQ72" s="191"/>
      <c r="BR72" s="191"/>
      <c r="BS72" s="192"/>
      <c r="BT72" s="192"/>
      <c r="BU72" s="192"/>
      <c r="BV72" s="192"/>
      <c r="BW72" s="192"/>
      <c r="BX72" s="192"/>
      <c r="BY72" s="189"/>
      <c r="BZ72" s="190"/>
      <c r="CA72" s="190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</row>
    <row r="73" spans="1:92" s="181" customFormat="1" ht="10.5" customHeight="1" x14ac:dyDescent="0.25">
      <c r="A73" s="133"/>
      <c r="B73" s="134" t="s">
        <v>381</v>
      </c>
      <c r="C73" s="133"/>
      <c r="D73" s="135">
        <v>281060</v>
      </c>
      <c r="E73" s="133"/>
      <c r="F73" s="133"/>
      <c r="G73" s="135">
        <v>10389135.220814433</v>
      </c>
      <c r="H73" s="135">
        <v>9545266.6537728067</v>
      </c>
      <c r="I73" s="135">
        <v>7836692.0390298357</v>
      </c>
      <c r="J73" s="135">
        <v>710263.86199999996</v>
      </c>
      <c r="K73" s="135">
        <v>1500</v>
      </c>
      <c r="L73" s="135">
        <v>57049</v>
      </c>
      <c r="M73" s="135">
        <v>5485015.1176965013</v>
      </c>
      <c r="N73" s="135">
        <v>4310506.6156965028</v>
      </c>
      <c r="O73" s="135">
        <v>467573.38200000004</v>
      </c>
      <c r="P73" s="135">
        <v>0</v>
      </c>
      <c r="Q73" s="135">
        <v>37239</v>
      </c>
      <c r="R73" s="135">
        <v>706935.12</v>
      </c>
      <c r="S73" s="135">
        <v>1046161.8221344657</v>
      </c>
      <c r="T73" s="135">
        <v>243766.58600162764</v>
      </c>
      <c r="U73" s="135">
        <v>802395.2361328383</v>
      </c>
      <c r="V73" s="135">
        <v>1603046.2159912335</v>
      </c>
      <c r="W73" s="135">
        <v>83971.835706960002</v>
      </c>
      <c r="X73" s="135">
        <v>1407008.0719091634</v>
      </c>
      <c r="Y73" s="135">
        <v>112066.30837510999</v>
      </c>
      <c r="Z73" s="135">
        <v>115584.69229683554</v>
      </c>
      <c r="AA73" s="136"/>
      <c r="AB73" s="135"/>
      <c r="AC73" s="135"/>
      <c r="AD73" s="135"/>
      <c r="AE73" s="136"/>
      <c r="AF73" s="136"/>
      <c r="AG73" s="137">
        <v>169070.16514940289</v>
      </c>
      <c r="AH73" s="137">
        <v>106738.17230300883</v>
      </c>
      <c r="AI73" s="137">
        <v>62331.992846394016</v>
      </c>
      <c r="AJ73" s="137">
        <v>50730.820182213523</v>
      </c>
      <c r="AK73" s="137">
        <v>34444.057089940565</v>
      </c>
      <c r="AL73" s="137">
        <v>26647.813605884294</v>
      </c>
      <c r="AM73" s="189"/>
      <c r="AN73" s="190"/>
      <c r="AO73" s="190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91"/>
      <c r="BK73" s="189"/>
      <c r="BL73" s="189"/>
      <c r="BM73" s="189"/>
      <c r="BN73" s="191"/>
      <c r="BO73" s="191"/>
      <c r="BP73" s="191"/>
      <c r="BQ73" s="191"/>
      <c r="BR73" s="191"/>
      <c r="BS73" s="192"/>
      <c r="BT73" s="192"/>
      <c r="BU73" s="192"/>
      <c r="BV73" s="192"/>
      <c r="BW73" s="192"/>
      <c r="BX73" s="192"/>
      <c r="BY73" s="189"/>
      <c r="BZ73" s="190"/>
      <c r="CA73" s="190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</row>
    <row r="74" spans="1:92" s="115" customFormat="1" ht="10.5" customHeight="1" x14ac:dyDescent="0.25"/>
    <row r="75" spans="1:92" s="115" customFormat="1" ht="10.5" customHeight="1" x14ac:dyDescent="0.25"/>
    <row r="76" spans="1:92" s="115" customFormat="1" ht="10.5" customHeight="1" x14ac:dyDescent="0.25"/>
    <row r="77" spans="1:92" s="115" customFormat="1" ht="10.5" customHeight="1" x14ac:dyDescent="0.25"/>
    <row r="78" spans="1:92" s="181" customFormat="1" ht="63" customHeight="1" x14ac:dyDescent="0.25">
      <c r="A78" s="143" t="s">
        <v>313</v>
      </c>
      <c r="B78" s="143" t="s">
        <v>314</v>
      </c>
      <c r="C78" s="143" t="s">
        <v>315</v>
      </c>
      <c r="D78" s="151" t="s">
        <v>316</v>
      </c>
      <c r="E78" s="143" t="s">
        <v>317</v>
      </c>
      <c r="F78" s="143" t="s">
        <v>318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41"/>
      <c r="V78" s="115"/>
      <c r="W78" s="115"/>
      <c r="X78" s="115"/>
      <c r="Y78" s="115"/>
      <c r="Z78" s="115"/>
      <c r="AA78" s="115"/>
      <c r="AB78" s="140"/>
      <c r="AC78" s="140"/>
      <c r="AD78" s="140"/>
      <c r="AE78" s="115"/>
      <c r="AF78" s="200"/>
      <c r="AG78" s="201"/>
      <c r="AH78" s="201"/>
      <c r="AI78" s="201"/>
      <c r="AJ78" s="201"/>
      <c r="AK78" s="201"/>
      <c r="AL78" s="201"/>
      <c r="AM78" s="196"/>
      <c r="AN78" s="196"/>
      <c r="AO78" s="142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95"/>
      <c r="BE78" s="173"/>
      <c r="BF78" s="173"/>
      <c r="BG78" s="173"/>
      <c r="BH78" s="173"/>
      <c r="BI78" s="173"/>
      <c r="BJ78" s="173"/>
      <c r="BK78" s="194"/>
      <c r="BL78" s="194"/>
      <c r="BM78" s="194"/>
      <c r="BN78" s="173"/>
      <c r="BO78" s="173"/>
      <c r="BP78" s="173"/>
      <c r="BQ78" s="173"/>
      <c r="BR78" s="199"/>
      <c r="BS78" s="199"/>
      <c r="BT78" s="199"/>
      <c r="BU78" s="196"/>
      <c r="BV78" s="202"/>
      <c r="BW78" s="196"/>
      <c r="BX78" s="202"/>
      <c r="BY78" s="203"/>
      <c r="BZ78" s="204"/>
      <c r="CA78" s="204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</row>
    <row r="79" spans="1:92" s="181" customFormat="1" ht="10.5" customHeight="1" x14ac:dyDescent="0.25">
      <c r="A79" s="143"/>
      <c r="B79" s="152" t="s">
        <v>419</v>
      </c>
      <c r="C79" s="143"/>
      <c r="D79" s="151"/>
      <c r="E79" s="143"/>
      <c r="F79" s="143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41"/>
      <c r="V79" s="115"/>
      <c r="W79" s="115"/>
      <c r="X79" s="115"/>
      <c r="Y79" s="115"/>
      <c r="Z79" s="115"/>
      <c r="AA79" s="115"/>
      <c r="AB79" s="140"/>
      <c r="AC79" s="140"/>
      <c r="AD79" s="140"/>
      <c r="AE79" s="115"/>
      <c r="AF79" s="205"/>
      <c r="AG79" s="201"/>
      <c r="AH79" s="201"/>
      <c r="AI79" s="201"/>
      <c r="AJ79" s="201"/>
      <c r="AK79" s="201"/>
      <c r="AL79" s="201"/>
      <c r="AM79" s="196"/>
      <c r="AN79" s="196"/>
      <c r="AO79" s="142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95"/>
      <c r="BE79" s="173"/>
      <c r="BF79" s="173"/>
      <c r="BG79" s="173"/>
      <c r="BH79" s="173"/>
      <c r="BI79" s="173"/>
      <c r="BJ79" s="173"/>
      <c r="BK79" s="194"/>
      <c r="BL79" s="194"/>
      <c r="BM79" s="194"/>
      <c r="BN79" s="173"/>
      <c r="BO79" s="173"/>
      <c r="BP79" s="173"/>
      <c r="BQ79" s="173"/>
      <c r="BR79" s="199"/>
      <c r="BS79" s="199"/>
      <c r="BT79" s="199"/>
      <c r="BU79" s="196"/>
      <c r="BV79" s="202"/>
      <c r="BW79" s="196"/>
      <c r="BX79" s="202"/>
      <c r="BY79" s="203"/>
      <c r="BZ79" s="204"/>
      <c r="CA79" s="204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</row>
    <row r="80" spans="1:92" ht="10.5" customHeight="1" x14ac:dyDescent="0.25">
      <c r="A80" s="153">
        <v>53</v>
      </c>
      <c r="B80" s="123" t="s">
        <v>106</v>
      </c>
      <c r="C80" s="122" t="s">
        <v>92</v>
      </c>
      <c r="D80" s="138">
        <v>673</v>
      </c>
      <c r="E80" s="122" t="s">
        <v>339</v>
      </c>
      <c r="F80" s="156">
        <v>0.50249999999999995</v>
      </c>
      <c r="G80" s="115"/>
      <c r="H80" s="115"/>
      <c r="I80" s="154"/>
      <c r="J80" s="15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41"/>
      <c r="V80" s="115"/>
      <c r="W80" s="115"/>
      <c r="X80" s="115"/>
      <c r="Y80" s="115"/>
      <c r="Z80" s="115"/>
      <c r="AA80" s="115"/>
      <c r="AB80" s="140"/>
      <c r="AC80" s="140"/>
      <c r="AD80" s="140"/>
      <c r="AE80" s="115"/>
      <c r="AF80" s="205"/>
      <c r="AG80" s="201"/>
      <c r="AH80" s="201"/>
      <c r="AI80" s="201"/>
      <c r="AJ80" s="201"/>
      <c r="AK80" s="201"/>
      <c r="AL80" s="201"/>
      <c r="AM80" s="196"/>
      <c r="AN80" s="196"/>
      <c r="AO80" s="142"/>
      <c r="AP80" s="173"/>
      <c r="AQ80" s="173"/>
      <c r="AR80" s="154"/>
      <c r="AS80" s="15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41"/>
      <c r="BE80" s="115"/>
      <c r="BF80" s="115"/>
      <c r="BG80" s="115"/>
      <c r="BH80" s="115"/>
      <c r="BI80" s="115"/>
      <c r="BJ80" s="115"/>
      <c r="BK80" s="140"/>
      <c r="BL80" s="140"/>
      <c r="BM80" s="140"/>
      <c r="BN80" s="115"/>
      <c r="BO80" s="115"/>
      <c r="BP80" s="115"/>
      <c r="BQ80" s="115"/>
      <c r="BR80" s="147"/>
      <c r="BS80" s="147"/>
      <c r="BT80" s="147"/>
      <c r="BU80" s="142"/>
      <c r="BV80" s="114"/>
      <c r="BW80" s="142"/>
      <c r="BX80" s="114"/>
      <c r="BY80" s="138"/>
      <c r="BZ80" s="122"/>
      <c r="CA80" s="156"/>
      <c r="CB80" s="115"/>
      <c r="CC80" s="115"/>
      <c r="CD80" s="154"/>
      <c r="CE80" s="155"/>
      <c r="CF80" s="115"/>
      <c r="CG80" s="115"/>
      <c r="CH80" s="115"/>
      <c r="CI80" s="115"/>
      <c r="CJ80" s="115"/>
      <c r="CK80" s="115"/>
      <c r="CL80" s="115"/>
      <c r="CM80" s="115"/>
      <c r="CN80" s="115"/>
    </row>
    <row r="81" spans="1:92" ht="10.5" customHeight="1" x14ac:dyDescent="0.25">
      <c r="A81" s="153">
        <v>54</v>
      </c>
      <c r="B81" s="123" t="s">
        <v>420</v>
      </c>
      <c r="C81" s="122" t="s">
        <v>92</v>
      </c>
      <c r="D81" s="138">
        <v>1025</v>
      </c>
      <c r="E81" s="122" t="s">
        <v>342</v>
      </c>
      <c r="F81" s="156">
        <v>0.8236</v>
      </c>
      <c r="G81" s="115"/>
      <c r="H81" s="115"/>
      <c r="I81" s="141"/>
      <c r="J81" s="157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41"/>
      <c r="V81" s="115"/>
      <c r="W81" s="115"/>
      <c r="X81" s="115"/>
      <c r="Y81" s="115"/>
      <c r="Z81" s="115"/>
      <c r="AA81" s="115"/>
      <c r="AB81" s="140"/>
      <c r="AC81" s="140"/>
      <c r="AD81" s="140"/>
      <c r="AE81" s="115"/>
      <c r="AF81" s="205"/>
      <c r="AG81" s="201"/>
      <c r="AH81" s="201"/>
      <c r="AI81" s="201"/>
      <c r="AJ81" s="201"/>
      <c r="AK81" s="201"/>
      <c r="AL81" s="201"/>
      <c r="AM81" s="196"/>
      <c r="AN81" s="196"/>
      <c r="AO81" s="142"/>
      <c r="AP81" s="173"/>
      <c r="AQ81" s="173"/>
      <c r="AR81" s="141"/>
      <c r="AS81" s="157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41"/>
      <c r="BE81" s="115"/>
      <c r="BF81" s="115"/>
      <c r="BG81" s="115"/>
      <c r="BH81" s="115"/>
      <c r="BI81" s="115"/>
      <c r="BJ81" s="115"/>
      <c r="BK81" s="140"/>
      <c r="BL81" s="140"/>
      <c r="BM81" s="140"/>
      <c r="BN81" s="115"/>
      <c r="BO81" s="115"/>
      <c r="BP81" s="115"/>
      <c r="BQ81" s="115"/>
      <c r="BR81" s="147"/>
      <c r="BS81" s="147"/>
      <c r="BT81" s="147"/>
      <c r="BU81" s="142"/>
      <c r="BV81" s="114"/>
      <c r="BW81" s="142"/>
      <c r="BX81" s="114"/>
      <c r="BY81" s="138"/>
      <c r="BZ81" s="122"/>
      <c r="CA81" s="156"/>
      <c r="CB81" s="115"/>
      <c r="CC81" s="115"/>
      <c r="CD81" s="141"/>
      <c r="CE81" s="157"/>
      <c r="CF81" s="115"/>
      <c r="CG81" s="115"/>
      <c r="CH81" s="115"/>
      <c r="CI81" s="115"/>
      <c r="CJ81" s="115"/>
      <c r="CK81" s="115"/>
      <c r="CL81" s="115"/>
      <c r="CM81" s="115"/>
      <c r="CN81" s="115"/>
    </row>
    <row r="82" spans="1:92" ht="10.5" customHeight="1" x14ac:dyDescent="0.25">
      <c r="A82" s="153">
        <v>55</v>
      </c>
      <c r="B82" s="123" t="s">
        <v>479</v>
      </c>
      <c r="C82" s="122" t="s">
        <v>480</v>
      </c>
      <c r="D82" s="138">
        <v>1530</v>
      </c>
      <c r="E82" s="125" t="s">
        <v>342</v>
      </c>
      <c r="F82" s="126">
        <v>254.26439999999999</v>
      </c>
      <c r="G82" s="115"/>
      <c r="H82" s="115"/>
      <c r="I82" s="141"/>
      <c r="J82" s="157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1"/>
      <c r="V82" s="115"/>
      <c r="W82" s="115"/>
      <c r="X82" s="115"/>
      <c r="Y82" s="115"/>
      <c r="Z82" s="115"/>
      <c r="AA82" s="115"/>
      <c r="AB82" s="140"/>
      <c r="AC82" s="140"/>
      <c r="AD82" s="140"/>
      <c r="AE82" s="115"/>
      <c r="AF82" s="205"/>
      <c r="AG82" s="201"/>
      <c r="AH82" s="201"/>
      <c r="AI82" s="201"/>
      <c r="AJ82" s="201"/>
      <c r="AK82" s="201"/>
      <c r="AL82" s="201"/>
      <c r="AM82" s="196"/>
      <c r="AN82" s="196"/>
      <c r="AO82" s="142"/>
      <c r="AP82" s="173"/>
      <c r="AQ82" s="173"/>
      <c r="AR82" s="141"/>
      <c r="AS82" s="157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41"/>
      <c r="BE82" s="115"/>
      <c r="BF82" s="115"/>
      <c r="BG82" s="115"/>
      <c r="BH82" s="115"/>
      <c r="BI82" s="115"/>
      <c r="BJ82" s="115"/>
      <c r="BK82" s="140"/>
      <c r="BL82" s="140"/>
      <c r="BM82" s="140"/>
      <c r="BN82" s="115"/>
      <c r="BO82" s="115"/>
      <c r="BP82" s="115"/>
      <c r="BQ82" s="115"/>
      <c r="BR82" s="147"/>
      <c r="BS82" s="147"/>
      <c r="BT82" s="147"/>
      <c r="BU82" s="142"/>
      <c r="BV82" s="114"/>
      <c r="BW82" s="142"/>
      <c r="BX82" s="114"/>
      <c r="BY82" s="138"/>
      <c r="BZ82" s="125"/>
      <c r="CA82" s="126"/>
      <c r="CB82" s="115"/>
      <c r="CC82" s="115"/>
      <c r="CD82" s="141"/>
      <c r="CE82" s="157"/>
      <c r="CF82" s="115"/>
      <c r="CG82" s="115"/>
      <c r="CH82" s="115"/>
      <c r="CI82" s="115"/>
      <c r="CJ82" s="115"/>
      <c r="CK82" s="115"/>
      <c r="CL82" s="115"/>
      <c r="CM82" s="115"/>
      <c r="CN82" s="115"/>
    </row>
    <row r="83" spans="1:92" ht="10.5" customHeight="1" x14ac:dyDescent="0.25">
      <c r="A83" s="133"/>
      <c r="B83" s="134" t="s">
        <v>421</v>
      </c>
      <c r="C83" s="133"/>
      <c r="D83" s="135">
        <v>3228</v>
      </c>
      <c r="E83" s="133"/>
      <c r="F83" s="133"/>
      <c r="G83" s="115"/>
      <c r="H83" s="115"/>
      <c r="I83" s="141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41"/>
      <c r="V83" s="115"/>
      <c r="W83" s="115"/>
      <c r="X83" s="115"/>
      <c r="Y83" s="115"/>
      <c r="Z83" s="115"/>
      <c r="AA83" s="115"/>
      <c r="AB83" s="140"/>
      <c r="AC83" s="140"/>
      <c r="AD83" s="140"/>
      <c r="AE83" s="115"/>
      <c r="AF83" s="205"/>
      <c r="AG83" s="201"/>
      <c r="AH83" s="201"/>
      <c r="AI83" s="201"/>
      <c r="AJ83" s="201"/>
      <c r="AK83" s="201"/>
      <c r="AL83" s="201"/>
      <c r="AM83" s="196"/>
      <c r="AN83" s="196"/>
      <c r="AO83" s="142"/>
      <c r="AP83" s="173"/>
      <c r="AQ83" s="173"/>
      <c r="AR83" s="141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41"/>
      <c r="BE83" s="115"/>
      <c r="BF83" s="115"/>
      <c r="BG83" s="115"/>
      <c r="BH83" s="115"/>
      <c r="BI83" s="115"/>
      <c r="BJ83" s="115"/>
      <c r="BK83" s="140"/>
      <c r="BL83" s="140"/>
      <c r="BM83" s="140"/>
      <c r="BN83" s="115"/>
      <c r="BO83" s="115"/>
      <c r="BP83" s="115"/>
      <c r="BQ83" s="115"/>
      <c r="BR83" s="147"/>
      <c r="BS83" s="147"/>
      <c r="BT83" s="147"/>
      <c r="BU83" s="142"/>
      <c r="BV83" s="114"/>
      <c r="BW83" s="142"/>
      <c r="BX83" s="114"/>
      <c r="BY83" s="135"/>
      <c r="BZ83" s="133"/>
      <c r="CA83" s="133"/>
      <c r="CB83" s="115"/>
      <c r="CC83" s="115"/>
      <c r="CD83" s="141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</row>
    <row r="84" spans="1:92" x14ac:dyDescent="0.25">
      <c r="A84" s="146"/>
      <c r="B84" s="146"/>
      <c r="C84" s="146"/>
      <c r="D84" s="146"/>
      <c r="E84" s="146"/>
      <c r="F84" s="146"/>
      <c r="G84" s="146"/>
      <c r="H84" s="115"/>
      <c r="I84" s="158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200"/>
      <c r="AG84" s="201"/>
      <c r="AH84" s="201"/>
      <c r="AI84" s="201"/>
      <c r="AJ84" s="201"/>
      <c r="AK84" s="201"/>
      <c r="AL84" s="201"/>
      <c r="AM84" s="196"/>
      <c r="AN84" s="196"/>
      <c r="AO84" s="142"/>
      <c r="AP84" s="206"/>
      <c r="AQ84" s="173"/>
      <c r="AR84" s="158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15"/>
      <c r="CD84" s="158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</row>
    <row r="85" spans="1:92" x14ac:dyDescent="0.25">
      <c r="A85" s="146"/>
      <c r="B85" s="146"/>
      <c r="C85" s="146"/>
      <c r="D85" s="146"/>
      <c r="E85" s="146"/>
      <c r="F85" s="146"/>
      <c r="G85" s="146"/>
      <c r="H85" s="115"/>
      <c r="I85" s="158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91"/>
      <c r="AG85" s="192"/>
      <c r="AH85" s="192"/>
      <c r="AI85" s="192"/>
      <c r="AJ85" s="192"/>
      <c r="AK85" s="192"/>
      <c r="AL85" s="192"/>
      <c r="AM85" s="196"/>
      <c r="AN85" s="196"/>
      <c r="AO85" s="142"/>
      <c r="AP85" s="206"/>
      <c r="AQ85" s="173"/>
      <c r="AR85" s="158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15"/>
      <c r="CD85" s="158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</row>
    <row r="86" spans="1:92" ht="42" customHeight="1" x14ac:dyDescent="0.25">
      <c r="A86" s="145"/>
      <c r="B86" s="145" t="s">
        <v>384</v>
      </c>
      <c r="C86" s="118" t="s">
        <v>316</v>
      </c>
      <c r="D86" s="145" t="s">
        <v>383</v>
      </c>
      <c r="E86" s="146"/>
      <c r="F86" s="146"/>
      <c r="G86" s="146"/>
      <c r="H86" s="115"/>
      <c r="I86" s="158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40"/>
      <c r="AC86" s="140"/>
      <c r="AD86" s="140"/>
      <c r="AE86" s="115"/>
      <c r="AF86" s="197"/>
      <c r="AG86" s="197"/>
      <c r="AH86" s="197"/>
      <c r="AI86" s="198"/>
      <c r="AJ86" s="198"/>
      <c r="AK86" s="198"/>
      <c r="AL86" s="198"/>
      <c r="AM86" s="173"/>
      <c r="AN86" s="173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40"/>
      <c r="BL86" s="140"/>
      <c r="BM86" s="140"/>
      <c r="BN86" s="115"/>
      <c r="BO86" s="115"/>
      <c r="BP86" s="115"/>
      <c r="BQ86" s="115"/>
      <c r="BR86" s="147"/>
      <c r="BS86" s="147"/>
      <c r="BT86" s="147"/>
      <c r="BU86" s="142"/>
      <c r="BV86" s="114"/>
      <c r="BW86" s="142"/>
      <c r="BX86" s="114"/>
      <c r="BY86" s="145"/>
      <c r="BZ86" s="146"/>
      <c r="CA86" s="146"/>
      <c r="CB86" s="146"/>
      <c r="CC86" s="115"/>
      <c r="CD86" s="158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</row>
    <row r="87" spans="1:92" ht="10.5" customHeight="1" x14ac:dyDescent="0.25">
      <c r="A87" s="159"/>
      <c r="B87" s="159" t="s">
        <v>385</v>
      </c>
      <c r="C87" s="160">
        <v>284288</v>
      </c>
      <c r="D87" s="160">
        <v>5485015.1176965013</v>
      </c>
      <c r="E87" s="146"/>
      <c r="F87" s="146"/>
      <c r="G87" s="146"/>
      <c r="H87" s="132"/>
      <c r="I87" s="154"/>
      <c r="J87" s="161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48"/>
      <c r="AC87" s="148"/>
      <c r="AD87" s="148"/>
      <c r="AE87" s="132"/>
      <c r="AF87" s="205"/>
      <c r="AG87" s="201"/>
      <c r="AH87" s="201"/>
      <c r="AI87" s="201"/>
      <c r="AJ87" s="201"/>
      <c r="AK87" s="201"/>
      <c r="AL87" s="201"/>
      <c r="AM87" s="173"/>
      <c r="AN87" s="173"/>
      <c r="AO87" s="115"/>
      <c r="AP87" s="115"/>
      <c r="AQ87" s="115"/>
      <c r="AR87" s="115"/>
      <c r="AS87" s="161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48"/>
      <c r="BL87" s="148"/>
      <c r="BM87" s="148"/>
      <c r="BN87" s="132"/>
      <c r="BO87" s="132"/>
      <c r="BP87" s="132"/>
      <c r="BQ87" s="132"/>
      <c r="BR87" s="149"/>
      <c r="BS87" s="149"/>
      <c r="BT87" s="149"/>
      <c r="BU87" s="150"/>
      <c r="BV87" s="131"/>
      <c r="BW87" s="150"/>
      <c r="BX87" s="131"/>
      <c r="BY87" s="160"/>
      <c r="BZ87" s="146"/>
      <c r="CA87" s="146"/>
      <c r="CB87" s="146"/>
      <c r="CC87" s="132"/>
      <c r="CD87" s="154"/>
      <c r="CE87" s="161"/>
      <c r="CF87" s="132"/>
      <c r="CG87" s="132"/>
      <c r="CH87" s="132"/>
      <c r="CI87" s="132"/>
      <c r="CJ87" s="132"/>
      <c r="CK87" s="132"/>
      <c r="CL87" s="132"/>
      <c r="CM87" s="132"/>
      <c r="CN87" s="132"/>
    </row>
    <row r="88" spans="1:92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205"/>
      <c r="AG88" s="201"/>
      <c r="AH88" s="201"/>
      <c r="AI88" s="201"/>
      <c r="AJ88" s="201"/>
      <c r="AK88" s="201"/>
      <c r="AL88" s="201"/>
      <c r="AM88" s="173"/>
      <c r="AN88" s="173"/>
      <c r="AO88" s="115"/>
      <c r="AP88" s="115"/>
      <c r="AQ88" s="115"/>
      <c r="AR88" s="115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</row>
    <row r="89" spans="1:92" ht="10.5" customHeight="1" x14ac:dyDescent="0.25">
      <c r="A89" s="162"/>
      <c r="B89" s="163" t="s">
        <v>107</v>
      </c>
      <c r="C89" s="162"/>
      <c r="D89" s="164"/>
      <c r="E89" s="146"/>
      <c r="F89" s="146"/>
      <c r="G89" s="146"/>
      <c r="H89" s="146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40"/>
      <c r="AC89" s="140"/>
      <c r="AD89" s="140"/>
      <c r="AE89" s="115"/>
      <c r="AF89" s="205"/>
      <c r="AG89" s="201"/>
      <c r="AH89" s="201"/>
      <c r="AI89" s="201"/>
      <c r="AJ89" s="201"/>
      <c r="AK89" s="201"/>
      <c r="AL89" s="201"/>
      <c r="AM89" s="173"/>
      <c r="AN89" s="173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40"/>
      <c r="BL89" s="140"/>
      <c r="BM89" s="140"/>
      <c r="BN89" s="115"/>
      <c r="BO89" s="115"/>
      <c r="BP89" s="115"/>
      <c r="BQ89" s="115"/>
      <c r="BR89" s="147"/>
      <c r="BS89" s="147"/>
      <c r="BT89" s="147"/>
      <c r="BU89" s="142"/>
      <c r="BV89" s="114"/>
      <c r="BW89" s="142"/>
      <c r="BX89" s="114"/>
      <c r="BY89" s="164"/>
      <c r="BZ89" s="146"/>
      <c r="CA89" s="146"/>
      <c r="CB89" s="146"/>
      <c r="CC89" s="146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</row>
    <row r="90" spans="1:92" ht="73.5" customHeight="1" x14ac:dyDescent="0.25">
      <c r="A90" s="145" t="s">
        <v>313</v>
      </c>
      <c r="B90" s="145" t="s">
        <v>382</v>
      </c>
      <c r="C90" s="145" t="s">
        <v>315</v>
      </c>
      <c r="D90" s="118" t="s">
        <v>316</v>
      </c>
      <c r="E90" s="144" t="s">
        <v>386</v>
      </c>
      <c r="F90" s="145" t="s">
        <v>383</v>
      </c>
      <c r="G90" s="118" t="s">
        <v>387</v>
      </c>
      <c r="H90" s="118" t="s">
        <v>388</v>
      </c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40"/>
      <c r="AC90" s="140"/>
      <c r="AD90" s="140"/>
      <c r="AE90" s="115"/>
      <c r="AF90" s="200"/>
      <c r="AG90" s="201"/>
      <c r="AH90" s="201"/>
      <c r="AI90" s="201"/>
      <c r="AJ90" s="201"/>
      <c r="AK90" s="201"/>
      <c r="AL90" s="201"/>
      <c r="AM90" s="173"/>
      <c r="AN90" s="173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40"/>
      <c r="BL90" s="140"/>
      <c r="BM90" s="140"/>
      <c r="BN90" s="115"/>
      <c r="BO90" s="115"/>
      <c r="BP90" s="115"/>
      <c r="BQ90" s="115"/>
      <c r="BR90" s="147"/>
      <c r="BS90" s="147"/>
      <c r="BT90" s="147"/>
      <c r="BU90" s="142"/>
      <c r="BV90" s="114"/>
      <c r="BW90" s="142"/>
      <c r="BX90" s="114"/>
      <c r="BY90" s="118"/>
      <c r="BZ90" s="144"/>
      <c r="CA90" s="145"/>
      <c r="CB90" s="118"/>
      <c r="CC90" s="118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</row>
    <row r="91" spans="1:92" ht="10.5" customHeight="1" x14ac:dyDescent="0.25">
      <c r="A91" s="172"/>
      <c r="B91" s="165" t="s">
        <v>389</v>
      </c>
      <c r="C91" s="145"/>
      <c r="D91" s="145"/>
      <c r="E91" s="145"/>
      <c r="F91" s="145"/>
      <c r="G91" s="145"/>
      <c r="H91" s="14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40"/>
      <c r="AC91" s="140"/>
      <c r="AD91" s="140"/>
      <c r="AE91" s="115"/>
      <c r="AF91" s="205"/>
      <c r="AG91" s="201"/>
      <c r="AH91" s="201"/>
      <c r="AI91" s="201"/>
      <c r="AJ91" s="201"/>
      <c r="AK91" s="201"/>
      <c r="AL91" s="201"/>
      <c r="AM91" s="173"/>
      <c r="AN91" s="173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40"/>
      <c r="BL91" s="140"/>
      <c r="BM91" s="140"/>
      <c r="BN91" s="115"/>
      <c r="BO91" s="115"/>
      <c r="BP91" s="115"/>
      <c r="BQ91" s="115"/>
      <c r="BR91" s="147"/>
      <c r="BS91" s="147"/>
      <c r="BT91" s="147"/>
      <c r="BU91" s="142"/>
      <c r="BV91" s="114"/>
      <c r="BW91" s="142"/>
      <c r="BX91" s="114"/>
      <c r="BY91" s="145"/>
      <c r="BZ91" s="145"/>
      <c r="CA91" s="145"/>
      <c r="CB91" s="145"/>
      <c r="CC91" s="14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</row>
    <row r="92" spans="1:92" ht="10.5" customHeight="1" x14ac:dyDescent="0.25">
      <c r="A92" s="122">
        <v>56</v>
      </c>
      <c r="B92" s="123" t="s">
        <v>390</v>
      </c>
      <c r="C92" s="122" t="s">
        <v>349</v>
      </c>
      <c r="D92" s="138">
        <v>1645</v>
      </c>
      <c r="E92" s="138">
        <v>9251</v>
      </c>
      <c r="F92" s="138">
        <v>9251</v>
      </c>
      <c r="G92" s="138">
        <v>315.30780800000002</v>
      </c>
      <c r="H92" s="138">
        <v>33200</v>
      </c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48"/>
      <c r="AC92" s="148"/>
      <c r="AD92" s="148"/>
      <c r="AE92" s="132"/>
      <c r="AF92" s="205"/>
      <c r="AG92" s="201"/>
      <c r="AH92" s="201"/>
      <c r="AI92" s="201"/>
      <c r="AJ92" s="201"/>
      <c r="AK92" s="201"/>
      <c r="AL92" s="201"/>
      <c r="AM92" s="173"/>
      <c r="AN92" s="173"/>
      <c r="AO92" s="115"/>
      <c r="AP92" s="115"/>
      <c r="AQ92" s="115"/>
      <c r="AR92" s="115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48"/>
      <c r="BL92" s="148"/>
      <c r="BM92" s="148"/>
      <c r="BN92" s="132"/>
      <c r="BO92" s="132"/>
      <c r="BP92" s="132"/>
      <c r="BQ92" s="132"/>
      <c r="BR92" s="149"/>
      <c r="BS92" s="149"/>
      <c r="BT92" s="149"/>
      <c r="BU92" s="150"/>
      <c r="BV92" s="131"/>
      <c r="BW92" s="150"/>
      <c r="BX92" s="131"/>
      <c r="BY92" s="138"/>
      <c r="BZ92" s="138"/>
      <c r="CA92" s="138"/>
      <c r="CB92" s="138"/>
      <c r="CC92" s="138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</row>
    <row r="93" spans="1:92" ht="10.5" customHeight="1" x14ac:dyDescent="0.25">
      <c r="A93" s="133"/>
      <c r="B93" s="134" t="s">
        <v>391</v>
      </c>
      <c r="C93" s="133"/>
      <c r="D93" s="135">
        <v>1645</v>
      </c>
      <c r="E93" s="135">
        <v>9251</v>
      </c>
      <c r="F93" s="135">
        <v>9251</v>
      </c>
      <c r="G93" s="135"/>
      <c r="H93" s="135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48"/>
      <c r="AC93" s="148"/>
      <c r="AD93" s="148"/>
      <c r="AE93" s="132"/>
      <c r="AF93" s="205"/>
      <c r="AG93" s="201"/>
      <c r="AH93" s="201"/>
      <c r="AI93" s="201"/>
      <c r="AJ93" s="201"/>
      <c r="AK93" s="201"/>
      <c r="AL93" s="201"/>
      <c r="AM93" s="173"/>
      <c r="AN93" s="173"/>
      <c r="AO93" s="115"/>
      <c r="AP93" s="115"/>
      <c r="AQ93" s="115"/>
      <c r="AR93" s="115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48"/>
      <c r="BL93" s="148"/>
      <c r="BM93" s="148"/>
      <c r="BN93" s="132"/>
      <c r="BO93" s="132"/>
      <c r="BP93" s="132"/>
      <c r="BQ93" s="132"/>
      <c r="BR93" s="132"/>
      <c r="BS93" s="132"/>
      <c r="BT93" s="132"/>
      <c r="BU93" s="149"/>
      <c r="BV93" s="150"/>
      <c r="BW93" s="149"/>
      <c r="BX93" s="150"/>
      <c r="BY93" s="135"/>
      <c r="BZ93" s="135"/>
      <c r="CA93" s="135"/>
      <c r="CB93" s="135"/>
      <c r="CC93" s="135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</row>
    <row r="94" spans="1:92" ht="10.5" customHeight="1" x14ac:dyDescent="0.25">
      <c r="A94" s="133"/>
      <c r="B94" s="134" t="s">
        <v>422</v>
      </c>
      <c r="C94" s="133"/>
      <c r="D94" s="135">
        <v>19041</v>
      </c>
      <c r="E94" s="135"/>
      <c r="F94" s="135"/>
      <c r="G94" s="135"/>
      <c r="H94" s="13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40"/>
      <c r="AC94" s="140"/>
      <c r="AD94" s="140"/>
      <c r="AE94" s="115"/>
      <c r="AF94" s="205"/>
      <c r="AG94" s="201"/>
      <c r="AH94" s="201"/>
      <c r="AI94" s="201"/>
      <c r="AJ94" s="201"/>
      <c r="AK94" s="201"/>
      <c r="AL94" s="201"/>
      <c r="AM94" s="173"/>
      <c r="AN94" s="173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40"/>
      <c r="BL94" s="140"/>
      <c r="BM94" s="140"/>
      <c r="BN94" s="115"/>
      <c r="BO94" s="115"/>
      <c r="BP94" s="115"/>
      <c r="BQ94" s="115"/>
      <c r="BR94" s="147"/>
      <c r="BS94" s="147"/>
      <c r="BT94" s="147"/>
      <c r="BU94" s="142"/>
      <c r="BV94" s="114"/>
      <c r="BW94" s="142"/>
      <c r="BX94" s="114"/>
      <c r="BY94" s="135"/>
      <c r="BZ94" s="135"/>
      <c r="CA94" s="135"/>
      <c r="CB94" s="135"/>
      <c r="CC94" s="13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</row>
    <row r="95" spans="1:92" ht="10.5" customHeight="1" x14ac:dyDescent="0.25">
      <c r="A95" s="133"/>
      <c r="B95" s="134" t="s">
        <v>392</v>
      </c>
      <c r="C95" s="133"/>
      <c r="D95" s="135">
        <v>20686</v>
      </c>
      <c r="E95" s="136"/>
      <c r="F95" s="136"/>
      <c r="G95" s="136"/>
      <c r="H95" s="136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48"/>
      <c r="AC95" s="148"/>
      <c r="AD95" s="148"/>
      <c r="AE95" s="132"/>
      <c r="AF95" s="205"/>
      <c r="AG95" s="201"/>
      <c r="AH95" s="201"/>
      <c r="AI95" s="201"/>
      <c r="AJ95" s="201"/>
      <c r="AK95" s="201"/>
      <c r="AL95" s="201"/>
      <c r="AM95" s="173"/>
      <c r="AN95" s="173"/>
      <c r="AO95" s="115"/>
      <c r="AP95" s="115"/>
      <c r="AQ95" s="115"/>
      <c r="AR95" s="115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48"/>
      <c r="BL95" s="148"/>
      <c r="BM95" s="148"/>
      <c r="BN95" s="132"/>
      <c r="BO95" s="132"/>
      <c r="BP95" s="132"/>
      <c r="BQ95" s="132"/>
      <c r="BR95" s="132"/>
      <c r="BS95" s="132"/>
      <c r="BT95" s="132"/>
      <c r="BU95" s="149"/>
      <c r="BV95" s="150"/>
      <c r="BW95" s="149"/>
      <c r="BX95" s="150"/>
      <c r="BY95" s="135"/>
      <c r="BZ95" s="136"/>
      <c r="CA95" s="136"/>
      <c r="CB95" s="136"/>
      <c r="CC95" s="136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</row>
    <row r="96" spans="1:92" x14ac:dyDescent="0.25">
      <c r="B96" s="115"/>
      <c r="C96" s="115"/>
      <c r="D96" s="115"/>
      <c r="E96" s="115"/>
      <c r="F96" s="139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40"/>
      <c r="AC96" s="140"/>
      <c r="AD96" s="140"/>
      <c r="AE96" s="115"/>
      <c r="AF96" s="205"/>
      <c r="AG96" s="201"/>
      <c r="AH96" s="201"/>
      <c r="AI96" s="201"/>
      <c r="AJ96" s="201"/>
      <c r="AK96" s="201"/>
      <c r="AL96" s="201"/>
      <c r="AM96" s="173"/>
      <c r="AN96" s="173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40"/>
      <c r="BL96" s="140"/>
      <c r="BM96" s="140"/>
      <c r="BN96" s="115"/>
      <c r="BO96" s="115"/>
      <c r="BP96" s="115"/>
      <c r="BQ96" s="115"/>
      <c r="BR96" s="115"/>
      <c r="BS96" s="115"/>
      <c r="BT96" s="115"/>
      <c r="BU96" s="147"/>
      <c r="BV96" s="142"/>
      <c r="BW96" s="147"/>
      <c r="BX96" s="142"/>
      <c r="BY96" s="115"/>
      <c r="BZ96" s="115"/>
      <c r="CA96" s="139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</row>
    <row r="97" spans="1:92" ht="31.5" customHeight="1" x14ac:dyDescent="0.25">
      <c r="A97" s="145"/>
      <c r="B97" s="145" t="s">
        <v>393</v>
      </c>
      <c r="C97" s="145"/>
      <c r="D97" s="118" t="s">
        <v>316</v>
      </c>
      <c r="E97" s="115"/>
      <c r="F97" s="139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40"/>
      <c r="AC97" s="140"/>
      <c r="AD97" s="140"/>
      <c r="AE97" s="115"/>
      <c r="AF97" s="205"/>
      <c r="AG97" s="201"/>
      <c r="AH97" s="201"/>
      <c r="AI97" s="201"/>
      <c r="AJ97" s="201"/>
      <c r="AK97" s="201"/>
      <c r="AL97" s="201"/>
      <c r="AM97" s="173"/>
      <c r="AN97" s="173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40"/>
      <c r="BL97" s="140"/>
      <c r="BM97" s="140"/>
      <c r="BN97" s="115"/>
      <c r="BO97" s="115"/>
      <c r="BP97" s="115"/>
      <c r="BQ97" s="115"/>
      <c r="BR97" s="115"/>
      <c r="BS97" s="115"/>
      <c r="BT97" s="115"/>
      <c r="BU97" s="147"/>
      <c r="BV97" s="142"/>
      <c r="BW97" s="147"/>
      <c r="BX97" s="142"/>
      <c r="BY97" s="118"/>
      <c r="BZ97" s="115"/>
      <c r="CA97" s="139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</row>
    <row r="98" spans="1:92" ht="10.5" customHeight="1" x14ac:dyDescent="0.25">
      <c r="A98" s="166"/>
      <c r="B98" s="167" t="s">
        <v>394</v>
      </c>
      <c r="C98" s="168"/>
      <c r="D98" s="169">
        <v>304974</v>
      </c>
      <c r="E98" s="115"/>
      <c r="F98" s="139"/>
      <c r="G98" s="115"/>
      <c r="H98" s="115"/>
      <c r="I98" s="154"/>
      <c r="J98" s="161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40"/>
      <c r="AC98" s="140"/>
      <c r="AD98" s="140"/>
      <c r="AE98" s="115"/>
      <c r="AF98" s="205"/>
      <c r="AG98" s="201"/>
      <c r="AH98" s="201"/>
      <c r="AI98" s="201"/>
      <c r="AJ98" s="201"/>
      <c r="AK98" s="201"/>
      <c r="AL98" s="201"/>
      <c r="AM98" s="173"/>
      <c r="AN98" s="173"/>
      <c r="AO98" s="115"/>
      <c r="AP98" s="115"/>
      <c r="AQ98" s="115"/>
      <c r="AR98" s="115"/>
      <c r="AS98" s="161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40"/>
      <c r="BL98" s="140"/>
      <c r="BM98" s="140"/>
      <c r="BN98" s="115"/>
      <c r="BO98" s="115"/>
      <c r="BP98" s="115"/>
      <c r="BQ98" s="115"/>
      <c r="BR98" s="115"/>
      <c r="BS98" s="115"/>
      <c r="BT98" s="115"/>
      <c r="BU98" s="147"/>
      <c r="BV98" s="142"/>
      <c r="BW98" s="147"/>
      <c r="BX98" s="142"/>
      <c r="BY98" s="169"/>
      <c r="BZ98" s="115"/>
      <c r="CA98" s="139"/>
      <c r="CB98" s="115"/>
      <c r="CC98" s="115"/>
      <c r="CD98" s="154"/>
      <c r="CE98" s="161"/>
      <c r="CF98" s="115"/>
      <c r="CG98" s="115"/>
      <c r="CH98" s="115"/>
      <c r="CI98" s="115"/>
      <c r="CJ98" s="115"/>
      <c r="CK98" s="115"/>
      <c r="CL98" s="115"/>
      <c r="CM98" s="115"/>
      <c r="CN98" s="115"/>
    </row>
  </sheetData>
  <mergeCells count="22"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Contents</vt:lpstr>
      <vt:lpstr>Overview</vt:lpstr>
      <vt:lpstr>Operating Results</vt:lpstr>
      <vt:lpstr>PL</vt:lpstr>
      <vt:lpstr>BS</vt:lpstr>
      <vt:lpstr>CF</vt:lpstr>
      <vt:lpstr>Assets valuation 2024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Фроленко Елизавета Андреевна</cp:lastModifiedBy>
  <dcterms:created xsi:type="dcterms:W3CDTF">2021-08-12T14:59:22Z</dcterms:created>
  <dcterms:modified xsi:type="dcterms:W3CDTF">2026-02-24T11:55:02Z</dcterms:modified>
</cp:coreProperties>
</file>