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5\2025-10-21 3Q Operating Results\Final\"/>
    </mc:Choice>
  </mc:AlternateContent>
  <xr:revisionPtr revIDLastSave="0" documentId="13_ncr:1_{8238FE1D-53BC-4388-9045-A5842AA27124}" xr6:coauthVersionLast="36" xr6:coauthVersionMax="36" xr10:uidLastSave="{00000000-0000-0000-0000-000000000000}"/>
  <bookViews>
    <workbookView xWindow="0" yWindow="0" windowWidth="28800" windowHeight="11925" activeTab="2" xr2:uid="{8BED7D6A-33C6-46EF-A708-EB7D78F6E46A}"/>
  </bookViews>
  <sheets>
    <sheet name="Contents" sheetId="8" r:id="rId1"/>
    <sheet name="Overview" sheetId="1" r:id="rId2"/>
    <sheet name="Operating Results" sheetId="2" r:id="rId3"/>
    <sheet name="PL" sheetId="5" r:id="rId4"/>
    <sheet name="BS" sheetId="6" r:id="rId5"/>
    <sheet name="CF" sheetId="7" r:id="rId6"/>
    <sheet name="Assets valuation 2024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[21]Sensitivity!$S$17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[22]Баланс95!#REF!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[23]Расчеты!$B$15</definedName>
    <definedName name="ASS_COUNT_2">[23]Расчеты!$B$16</definedName>
    <definedName name="ASS_COUNT_3">[23]Расчеты!$B$17</definedName>
    <definedName name="ASS_COUNT_4">[23]Расчеты!$B$18</definedName>
    <definedName name="ASS_COUNT_5">[23]Расчеты!$B$19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[24]Library!$A$2:$A$224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'[25]Лист 2,0201,1010,0'!#REF!</definedName>
    <definedName name="bbb" hidden="1">{#N/A,#N/A,FALSE,"Aging Summary";#N/A,#N/A,FALSE,"Ratio Analysis";#N/A,#N/A,FALSE,"Test 120 Day Accts";#N/A,#N/A,FALSE,"Tickmarks"}</definedName>
    <definedName name="beginyear">'[26]05-09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[27]Balance_sheet!#REF!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[27]Balance_sheet!#REF!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[27]Balance_sheet!#REF!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[27]Balance_sheet!#REF!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[27]Balance_sheet!#REF!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[27]Balance_sheet!#REF!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[22]Баланс95!#REF!</definedName>
    <definedName name="Bld">[28]Parametrs!$B$4:$V$4</definedName>
    <definedName name="bloomberg" hidden="1">{"glc1",#N/A,FALSE,"GLC";"glc2",#N/A,FALSE,"GLC";"glc3",#N/A,FALSE,"GLC";"glc4",#N/A,FALSE,"GLC";"glc5",#N/A,FALSE,"GLC"}</definedName>
    <definedName name="BLPH1" hidden="1">'[29]Read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'[29]Read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[22]Баланс95!#REF!</definedName>
    <definedName name="Button_67">"X2001_PROJECT_N_1_DailySch_List"</definedName>
    <definedName name="BV">[22]Баланс95!#REF!</definedName>
    <definedName name="bvgb" hidden="1">{#N/A,#N/A,TRUE,"Буржуям"}</definedName>
    <definedName name="BVV">'[30]график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[22]Баланс95!#REF!</definedName>
    <definedName name="CALC_SHARES">[23]Расчеты!#REF!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[22]Баланс95!#REF!</definedName>
    <definedName name="CASH_DEFICIT">[23]Расчеты!$B$43</definedName>
    <definedName name="CashFlows">[31]Reference!$G$20:$G$24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[22]Баланс95!#REF!</definedName>
    <definedName name="Cedis">[32]KEY!#REF!</definedName>
    <definedName name="CelCodePrim" hidden="1">[33]Plan!#REF!</definedName>
    <definedName name="CelCodeSec" hidden="1">[33]Plan!#REF!</definedName>
    <definedName name="CelCritPrim" hidden="1">[33]Plan!#REF!</definedName>
    <definedName name="CelCritSec" hidden="1">[33]Plan!#REF!</definedName>
    <definedName name="Cena">#REF!</definedName>
    <definedName name="CF_7_ktn" hidden="1">{"Output-All",#N/A,FALSE,"Output"}</definedName>
    <definedName name="cf2_" hidden="1">{0,0,0,0}</definedName>
    <definedName name="CGS">[22]Баланс95!#REF!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[33]Plan!#REF!</definedName>
    <definedName name="codelib1" hidden="1">[33]Plan!#REF!</definedName>
    <definedName name="Coeff2">[34]SENSITIVITY!$C$12</definedName>
    <definedName name="Coeff3">[34]SENSITIVITY!$C$14</definedName>
    <definedName name="Coeff4">[34]SENSITIVITY!$C$16</definedName>
    <definedName name="CoLibMaj" hidden="1">[33]Plan!#REF!</definedName>
    <definedName name="CoLibMineur" hidden="1">[33]Plan!#REF!</definedName>
    <definedName name="Collaterals">[24]Library!$D$2:$D$6</definedName>
    <definedName name="comp">[35]Титул!$B$6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[21]Sensitivity!$S$5</definedName>
    <definedName name="Covenants">[31]Reference!$G$6:$G$7</definedName>
    <definedName name="Cr_Amount">#REF!</definedName>
    <definedName name="Cr_Amount1">[36]Данные!$D$19</definedName>
    <definedName name="CREDIT_FRA">[23]Расчеты!$C$34</definedName>
    <definedName name="CREDIT_INT">[23]Расчеты!$B$34</definedName>
    <definedName name="CREDIT_PERIOD">#REF!</definedName>
    <definedName name="CS">[22]Баланс95!#REF!</definedName>
    <definedName name="CSV">[22]Баланс95!#REF!</definedName>
    <definedName name="cu00.UserArea" hidden="1">[37]cus_HK1033!$B$2:$P$192</definedName>
    <definedName name="CUR">#REF!</definedName>
    <definedName name="CURLANGUAGE">[23]Расчеты!$B$40</definedName>
    <definedName name="Currencies">[24]Library!$C$2:$C$10</definedName>
    <definedName name="currency">[28]Parametrs!$B$8:$G$8</definedName>
    <definedName name="CURRENCY_NAME">[23]Расчеты!$C$55</definedName>
    <definedName name="CURRENCY_RATE">[28]Parametrs!$B$11:$CRF$11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[38]F1_SPRAV!$B$4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'[39]Balance Sheet'!#REF!</definedName>
    <definedName name="data84">'[39]Balance Sheet'!#REF!</definedName>
    <definedName name="data85">'[39]Balance Sheet'!#REF!</definedName>
    <definedName name="data86">'[39]Balance Sheet'!#REF!</definedName>
    <definedName name="data87">'[39]Balance Sheet'!#REF!</definedName>
    <definedName name="data88">'[39]Balance Sheet'!#REF!</definedName>
    <definedName name="data89">'[39]Balance Sheet'!#REF!</definedName>
    <definedName name="data90">'[39]Balance Sheet'!#REF!</definedName>
    <definedName name="data91">'[39]Balance Sheet'!#REF!</definedName>
    <definedName name="data92">'[39]Balance Sheet'!#REF!</definedName>
    <definedName name="data93">'[39]Balance Sheet'!#REF!</definedName>
    <definedName name="data94">'[39]Balance Sheet'!#REF!</definedName>
    <definedName name="data95">'[39]Balance Sheet'!#REF!</definedName>
    <definedName name="data96">'[39]Balance Sheet'!#REF!</definedName>
    <definedName name="data97">'[39]Balance Sheet'!#REF!</definedName>
    <definedName name="data98">'[39]Balance Sheet'!#REF!</definedName>
    <definedName name="data99">'[39]Balance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'[40]Master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[22]Баланс95!#REF!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'[41]Dropdown list'!$A$2:$A$4</definedName>
    <definedName name="DEBIT_FRA">[23]Расчеты!$C$33</definedName>
    <definedName name="DEBIT_INT">[23]Расчеты!$B$33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[23]Расчеты!$B$26</definedName>
    <definedName name="DIVIDEND_SHARE">#REF!</definedName>
    <definedName name="dividends_net">[32]KEY!#REF!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[22]Баланс95!#REF!</definedName>
    <definedName name="DВ18">'[42]матер.(октябрь)'!#REF!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[43]Настройка!$A$5</definedName>
    <definedName name="EPCS">[22]Баланс95!#REF!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[44]comps!$A$47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[28]Parametrs!#REF!</definedName>
    <definedName name="eurutryut">[0]!eurutryut</definedName>
    <definedName name="EV">[45]курс!$C$4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[46]Сводная!$B$3:$E$94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'[47]анализ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[32]KEY!#REF!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[32]KEY!#REF!</definedName>
    <definedName name="fix">[24]Library!$E$2:$E$47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[28]Parametrs!$B$7:$AI$7</definedName>
    <definedName name="footer">#REF!</definedName>
    <definedName name="Functional_Uses">[48]Inputs_Assumptions!$B$25:$G$25</definedName>
    <definedName name="Fund_name">[49]AccReport!#REF!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[50]Reference!$G$32:$I$73</definedName>
    <definedName name="G" hidden="1">{"'Grafik Kontrol'!$A$1:$J$8"}</definedName>
    <definedName name="gdhg">[0]!gdhg</definedName>
    <definedName name="GE_COUNT_1">[23]Расчеты!$B$48</definedName>
    <definedName name="GE_COUNT_2">[23]Расчеты!$B$49</definedName>
    <definedName name="GE_COUNT_3">[23]Расчеты!$B$50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[51]!GetSANDValue</definedName>
    <definedName name="GetVal">[51]!GetVal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[22]Баланс95!#REF!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[32]KEY!#REF!</definedName>
    <definedName name="Graph_Financing_surplus">[32]KEY!#REF!</definedName>
    <definedName name="Graph_Operating_expenses">[32]KEY!#REF!</definedName>
    <definedName name="Graph_Operating_profit">[32]KEY!#REF!</definedName>
    <definedName name="Graph_Profit_after_tax">[32]KEY!#REF!</definedName>
    <definedName name="Graph_Profit_before_tax">[32]KEY!#REF!</definedName>
    <definedName name="Graph_sales">[32]KEY!#REF!</definedName>
    <definedName name="Graph_Years">[32]KEY!#REF!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[31]Reference!$G$10:$G$17</definedName>
    <definedName name="Headroom">[31]Reference!$G$10:$G$17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[23]Inside!$A$131</definedName>
    <definedName name="IN_ASSET_12">[23]Inside!$A$134</definedName>
    <definedName name="IN_ASSET_13">[23]Inside!$A$138</definedName>
    <definedName name="IN_ASSET_14">[23]Inside!$A$142</definedName>
    <definedName name="IN_ASSET_15">[23]Inside!$A$146</definedName>
    <definedName name="IN_ASSET_21">[23]Inside!$A$150</definedName>
    <definedName name="IN_ASSET_22">[23]Inside!$A$153</definedName>
    <definedName name="IN_ASSET_23">[23]Inside!$A$157</definedName>
    <definedName name="IN_ASSET_24">[23]Inside!$A$161</definedName>
    <definedName name="IN_ASSET_25">[23]Inside!$A$165</definedName>
    <definedName name="IN_ASSET_31">[23]Inside!$A$169</definedName>
    <definedName name="IN_ASSET_32">[23]Inside!$A$172</definedName>
    <definedName name="IN_ASSET_33">[23]Inside!$A$176</definedName>
    <definedName name="IN_ASSET_34">[23]Inside!$A$180</definedName>
    <definedName name="IN_ASSET_35">[23]Inside!$A$184</definedName>
    <definedName name="IN_ASSET_41">[23]Inside!$A$188</definedName>
    <definedName name="IN_ASSET_42">[23]Inside!$A$191</definedName>
    <definedName name="IN_ASSET_43">[23]Inside!$A$195</definedName>
    <definedName name="IN_ASSET_44">[23]Inside!$A$199</definedName>
    <definedName name="IN_ASSET_45">[23]Inside!$A$203</definedName>
    <definedName name="IN_ASSET_51">[23]Inside!$A$207</definedName>
    <definedName name="IN_ASSET_52">[23]Inside!$A$210</definedName>
    <definedName name="IN_ASSET_53">[23]Inside!$A$214</definedName>
    <definedName name="IN_ASSET_54">[23]Inside!$A$218</definedName>
    <definedName name="IN_ASSET_55">[23]Inside!$A$222</definedName>
    <definedName name="IN_ASSET_61">[23]Inside!$A$226</definedName>
    <definedName name="IN_ASSET_62">[23]Inside!$A$229</definedName>
    <definedName name="IN_ASSET_63">[23]Inside!$A$233</definedName>
    <definedName name="IN_ASSET_64">[23]Inside!$A$237</definedName>
    <definedName name="IN_ASSET_65">[23]Inside!$A$241</definedName>
    <definedName name="IN_ASSET_71">[23]Inside!$A$245</definedName>
    <definedName name="IN_ASSET_72">[23]Inside!$A$248</definedName>
    <definedName name="IN_ASSET_73">[23]Inside!$A$252</definedName>
    <definedName name="IN_ASSET_74">[23]Inside!$A$256</definedName>
    <definedName name="IN_ASSET_75">[23]Inside!$A$260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[23]Inside!$A$58</definedName>
    <definedName name="INSIDE_COST_2">[23]Inside!$A$70</definedName>
    <definedName name="INSIDE_COST_3">[23]Inside!$A$82</definedName>
    <definedName name="INSIDE_COST_4">[23]Inside!$A$94</definedName>
    <definedName name="INSIDE_COST_5">[23]Inside!$A$106</definedName>
    <definedName name="INSIDE_COST_6">[23]Inside!$A$118</definedName>
    <definedName name="INSIDE_GE_1">[23]Inside!$A$266</definedName>
    <definedName name="INSIDE_GE_2">[23]Inside!$A$271</definedName>
    <definedName name="INSIDE_GE_3">[23]Inside!$A$276</definedName>
    <definedName name="INSIDE_GE_VAT_1">[23]Inside!$A$280</definedName>
    <definedName name="INSIDE_GE_VAT_2">[23]Inside!$A$285</definedName>
    <definedName name="INSIDE_GE_VAT_3">[23]Inside!$A$290</definedName>
    <definedName name="INSIDE_PERS_1">[23]Inside!$A$299</definedName>
    <definedName name="INSIDE_PERS_2">[23]Inside!$A$302</definedName>
    <definedName name="INSIDE_PERS_3">[23]Inside!$A$312</definedName>
    <definedName name="INSIDE_PROD_1">[23]Inside!$A$8</definedName>
    <definedName name="INSIDE_PROD_2">[23]Inside!$A$20</definedName>
    <definedName name="INSIDE_PROD_3">[23]Inside!$A$32</definedName>
    <definedName name="INSIDE_PROD_4">[23]Inside!$A$44</definedName>
    <definedName name="INSIDE_SHARE_1">[23]Inside!$A$316</definedName>
    <definedName name="INSIDE_SHARE_2">[23]Inside!$A$319</definedName>
    <definedName name="INSIDE_SHARE_3">[23]Inside!$A$322</definedName>
    <definedName name="INT">[22]Баланс95!#REF!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[32]KEY!#REF!</definedName>
    <definedName name="interest">'[40]Master Inputs Start Here'!$D$13</definedName>
    <definedName name="Interval">[52]Настройка!$B$13</definedName>
    <definedName name="INV_NUM">#REF!</definedName>
    <definedName name="INVENT_FRA">[23]Расчеты!$C$35</definedName>
    <definedName name="INVENT_INT">[23]Расчеты!$B$35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[23]Расчеты!$B$61</definedName>
    <definedName name="IS_PRO">[23]Расчеты!$B$5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[53]Analitics_Values!$F$3</definedName>
    <definedName name="k_50_60_str">[53]Analitics_Values!$F$4</definedName>
    <definedName name="k_70_80_str">[53]Analitics_Values!$F$5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[54]Кадастр!$B$4:$B$1597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[54]Исх_данные!$B$14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[28]Parametrs!$B$12:$C$12</definedName>
    <definedName name="Lang">[55]Groupings!$G$2</definedName>
    <definedName name="LANG_SELECTION_PROMPT">#REF!</definedName>
    <definedName name="Language">#REF!</definedName>
    <definedName name="LB">[4]Лист1!#REF!</definedName>
    <definedName name="LD">[22]Баланс95!#REF!</definedName>
    <definedName name="ldfgdfg" hidden="1">{"Area1",#N/A,FALSE,"OREWACC";"Area2",#N/A,FALSE,"OREWACC"}</definedName>
    <definedName name="LEASES_NUM">[23]Расчеты!$B$24</definedName>
    <definedName name="LeaseStatus">[28]Parametrs!$B$3:$G$3</definedName>
    <definedName name="Leasure">#REF!</definedName>
    <definedName name="LEVELS">#REF!</definedName>
    <definedName name="LEXAN">'[56]см. ЦЕНЫ '!$B$288</definedName>
    <definedName name="lfr" hidden="1">{"'интерфейс'!$J$31:$M$43"}</definedName>
    <definedName name="lg">[55]Список!#REF!</definedName>
    <definedName name="LGP_1">#REF!</definedName>
    <definedName name="LGP_CODE">#REF!</definedName>
    <definedName name="LGP_NAME">#REF!</definedName>
    <definedName name="LifeCycle">[28]Parametrs!$B$2:$D$2</definedName>
    <definedName name="limcount" hidden="1">1</definedName>
    <definedName name="LINK_TO_SENS">#REF!</definedName>
    <definedName name="List_Curr">[57]DropDownList!$D$1:$D$5</definedName>
    <definedName name="List_NewRef">[57]DropDownList!$G$1:$G$3</definedName>
    <definedName name="List_OpEx">[58]DropDownList!$A$1:$A$4</definedName>
    <definedName name="List_Org">#REF!</definedName>
    <definedName name="LIST_PERLEN">[23]Расчеты!$B$6</definedName>
    <definedName name="LIST_STARTMON">[23]Расчеты!$B$9</definedName>
    <definedName name="LIST_STARTYEAR">[23]Расчеты!$B$10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[23]Расчеты!$B$22</definedName>
    <definedName name="LONGITUDE">#REF!</definedName>
    <definedName name="lv">[55]Дебиторы!$B$4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[22]Баланс95!#REF!</definedName>
    <definedName name="market" hidden="1">{#N/A,"70% Success",FALSE,"Sales Forecast";#N/A,#N/A,FALSE,"Sheet2"}</definedName>
    <definedName name="market_supply">[28]Parametrs!$B$9:$C$9</definedName>
    <definedName name="MAX_DURATION">[23]Расчеты!$B$41</definedName>
    <definedName name="MAX_SENS_OFFSET">[23]Расчеты!$B$44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[50]Reference!$G$77:$G$88</definedName>
    <definedName name="MPCS">[22]Баланс95!#REF!</definedName>
    <definedName name="MS">[22]Баланс95!#REF!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[22]Баланс95!#REF!</definedName>
    <definedName name="NCS">[22]Баланс95!#REF!</definedName>
    <definedName name="NDS">#REF!</definedName>
    <definedName name="nekotir_ak">#REF!</definedName>
    <definedName name="nekotir_ob">#REF!</definedName>
    <definedName name="New_spaces">[21]Sensitivity!$I$35</definedName>
    <definedName name="nfyz" hidden="1">{#N/A,#N/A,TRUE,"Буржуям"}</definedName>
    <definedName name="Nhf">[59]НФИк!$A$17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[60]Sum!$B$2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[61]WorkCap!$B$2</definedName>
    <definedName name="No.2">[60]DCF!$B$9</definedName>
    <definedName name="No.22">'[40]HBS initial'!#REF!</definedName>
    <definedName name="No.23">'[40]HBS initial'!#REF!</definedName>
    <definedName name="No.24">'[40]HBS initial'!#REF!</definedName>
    <definedName name="No.25">'[40]HBS initial'!#REF!</definedName>
    <definedName name="No.26">'[40]HBS initial'!#REF!</definedName>
    <definedName name="No.28">'[40]HIS initial'!#REF!</definedName>
    <definedName name="No.29">'[40]HIS initial'!#REF!</definedName>
    <definedName name="No.3">#REF!</definedName>
    <definedName name="No.30">'[40]HIS initial'!#REF!</definedName>
    <definedName name="No.31">'[40]HIS initial'!#REF!</definedName>
    <definedName name="No.7">#REF!</definedName>
    <definedName name="No.8">#REF!</definedName>
    <definedName name="No.9">[62]WACC!$B$2</definedName>
    <definedName name="Nom_prosp">[38]F1_SPRAV!$B$3</definedName>
    <definedName name="NPR">#REF!</definedName>
    <definedName name="NPS">[22]Баланс95!#REF!</definedName>
    <definedName name="NPT">[22]Баланс95!#REF!</definedName>
    <definedName name="NPV">#REF!</definedName>
    <definedName name="NR">#REF!</definedName>
    <definedName name="NS">[22]Баланс95!#REF!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[63]ДАННЫЕ!$C$17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[22]Баланс95!#REF!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[23]Расчеты!$B$7</definedName>
    <definedName name="Period_To">#REF!</definedName>
    <definedName name="Period1">[43]Настройка!$A$8</definedName>
    <definedName name="Period2">[64]Настройка!$A$11</definedName>
    <definedName name="PeriodLong">#REF!</definedName>
    <definedName name="PERS_COUNT_1">[23]Расчеты!$B$51</definedName>
    <definedName name="PERS_COUNT_2">[23]Расчеты!$B$52</definedName>
    <definedName name="PERS_COUNT_3">[23]Расчеты!$B$53</definedName>
    <definedName name="Pg1_Chrg_Totals">#N/A</definedName>
    <definedName name="Pg1_NChrg_Totals">#N/A</definedName>
    <definedName name="plan" hidden="1">[33]Plan!#REF!</definedName>
    <definedName name="plan1" hidden="1">[33]Plan!#REF!</definedName>
    <definedName name="PLMajeur" hidden="1">[33]Plan!#REF!</definedName>
    <definedName name="PlMineur" hidden="1">[33]Plan!#REF!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[53]Analitics_Values!$D$9</definedName>
    <definedName name="price_2_k">[53]Analitics_Values!$D$8</definedName>
    <definedName name="price_2_p">[53]Analitics_Values!$D$10</definedName>
    <definedName name="price_3_p">[53]Analitics_Values!$D$11</definedName>
    <definedName name="Price_dynamics">[21]Sensitivity!$S$6</definedName>
    <definedName name="PRIME_TASS_Report">#REF!</definedName>
    <definedName name="Pring_Titles">'[55]#ССЫЛКА'!$A$1:$IV$16</definedName>
    <definedName name="PRINT">#REF!</definedName>
    <definedName name="Print1">[65]Черновик!$A$1:$M$31</definedName>
    <definedName name="Print2">[65]Черновик!$A$32:$M$65</definedName>
    <definedName name="PRJ_DURATION">[23]Расчеты!$B$8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[23]Расчеты!$B$13</definedName>
    <definedName name="PROFIT_TAX">#REF!</definedName>
    <definedName name="Profit_tax_lessee">'[66]Selling data'!$E$7</definedName>
    <definedName name="PRZ">#REF!</definedName>
    <definedName name="PSBV">[22]Баланс95!#REF!</definedName>
    <definedName name="PSI">[22]Баланс95!#REF!</definedName>
    <definedName name="PSR">#REF!</definedName>
    <definedName name="PSV">[22]Баланс95!#REF!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'[66]Print Calc'!$E$23</definedName>
    <definedName name="PURPOSE">#REF!</definedName>
    <definedName name="PutHeader">[51]П!PutHeader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[67]разряд!$A$1:$B$53</definedName>
    <definedName name="rat">#REF!</definedName>
    <definedName name="rate">[68]Hotel!$D$9</definedName>
    <definedName name="rate_3">#REF!</definedName>
    <definedName name="Rate0">[43]Настройка!$B$15</definedName>
    <definedName name="Rate1">[43]Настройка!$B$16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[32]KEY!#REF!</definedName>
    <definedName name="report_date">[28]BaseTable!$F$1:$ES$1</definedName>
    <definedName name="rere" hidden="1">{"'Sheet1'!$A$1:$G$85"}</definedName>
    <definedName name="resid1">[69]Предпосылки!$B$85</definedName>
    <definedName name="resid2">[69]Предпосылки!$B$86</definedName>
    <definedName name="resid3">[69]Предпосылки!$B$87</definedName>
    <definedName name="Rest">#REF!</definedName>
    <definedName name="rethehtr">[0]!rethehtr</definedName>
    <definedName name="ReturnMain">[70]!ReturnMain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[22]Баланс95!#REF!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[21]Sensitivity!$I$17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[71]DropDownList!$G$1:$G$3</definedName>
    <definedName name="sfh">[71]DropDownList!$D$1:$D$5</definedName>
    <definedName name="sgdhj">[0]!sgdhj</definedName>
    <definedName name="SHARES_NUM">[23]Расчеты!$B$23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'[41]Dropdown list'!$E$2:$E$4</definedName>
    <definedName name="soft2" hidden="1">[19]опт!$A$8:$C$98</definedName>
    <definedName name="solver_adj" hidden="1">'[72]пр-во'!$X$11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'[72]пр-во'!$Z$14</definedName>
    <definedName name="solver_lhs2" hidden="1">'[72]пр-во'!$X$13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'[73]пр-во'!$AA$14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[74]Sheet2!$A$1:$A$15</definedName>
    <definedName name="summary2" hidden="1">{#N/A,#N/A,FALSE,"Aging Summary";#N/A,#N/A,FALSE,"Ratio Analysis";#N/A,#N/A,FALSE,"Test 120 Day Accts";#N/A,#N/A,FALSE,"Tickmarks"}</definedName>
    <definedName name="SVO">'[75]Стоим._стр-ва'!$C$6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[22]Баланс95!#REF!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[22]Баланс95!#REF!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[24]Library!$B$2:$B$21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[32]KEY!#REF!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'[73]пр-во'!$Y$14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[69]Предпосылки!$E$123</definedName>
    <definedName name="VAT_REPAY">[23]Расчеты!$B$21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[76]трансформация1!#REF!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[76]трансформация1!#REF!</definedName>
    <definedName name="XRefCopy2Row" hidden="1">#REF!</definedName>
    <definedName name="XRefCopy3" hidden="1">[76]трансформация1!#REF!</definedName>
    <definedName name="XRefCopy3Row" hidden="1">#REF!</definedName>
    <definedName name="XRefCopyRangeCount" hidden="1">1</definedName>
    <definedName name="XRefPaste1" hidden="1">[76]трансформация1!#REF!</definedName>
    <definedName name="XRefPaste1Row" hidden="1">#REF!</definedName>
    <definedName name="XRefPaste2" hidden="1">[76]трансформация1!#REF!</definedName>
    <definedName name="XRefPaste2Row" hidden="1">#REF!</definedName>
    <definedName name="XRefPaste3" hidden="1">[76]трансформация1!#REF!</definedName>
    <definedName name="XRefPaste3Row" hidden="1">#REF!</definedName>
    <definedName name="XRefPaste4" hidden="1">[76]трансформация1!#REF!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[77]константы!$C$7</definedName>
    <definedName name="yas" hidden="1">#REF!</definedName>
    <definedName name="yasin" hidden="1">#REF!</definedName>
    <definedName name="Years">[50]Reference!$G$91:$G$108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'[78]ECONOMIC DATA'!$D$1:$F$65536,'[78]ECONOMIC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'[78]TRAFFIC CALC'!$D$1:$F$65536,'[78]TRAFFIC CALC'!#REF!</definedName>
    <definedName name="Z_0595F048_10C1_11D1_BBF1_0020AF29375F_.wvu.Cols" hidden="1">'[78]TRAFFIC PARM'!$D$1:$F$65536,'[78]TRAFFIC PARM'!#REF!</definedName>
    <definedName name="Z_0595F050_10C1_11D1_BBF1_0020AF29375F_.wvu.Cols" hidden="1">'[78]ECONOMIC DATA'!$A$1:$C$65536,'[78]ECONOMIC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'[78]TRAFFIC CALC'!$A$1:$C$65536,'[78]TRAFFIC CALC'!#REF!</definedName>
    <definedName name="Z_0595F060_10C1_11D1_BBF1_0020AF29375F_.wvu.Cols" hidden="1">'[78]TRAFFIC PARM'!$A$1:$C$65536,'[78]TRAFFIC PARM'!#REF!</definedName>
    <definedName name="Z_195152F2_E1B3_11D0_BBF1_0020AF29375F_.wvu.Cols" hidden="1">'[78]ECONOMIC DATA'!$D$1:$F$65536,'[78]ECONOMIC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'[78]TRAFFIC CALC'!$D$1:$F$65536,'[78]TRAFFIC CALC'!#REF!</definedName>
    <definedName name="Z_19515302_E1B3_11D0_BBF1_0020AF29375F_.wvu.Cols" hidden="1">'[78]TRAFFIC PARM'!$D$1:$F$65536,'[78]TRAFFIC PARM'!#REF!</definedName>
    <definedName name="Z_1951530A_E1B3_11D0_BBF1_0020AF29375F_.wvu.Cols" hidden="1">'[78]ECONOMIC DATA'!$A$1:$C$65536,'[78]ECONOMIC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'[78]TRAFFIC CALC'!$A$1:$C$65536,'[78]TRAFFIC CALC'!#REF!</definedName>
    <definedName name="Z_1951531A_E1B3_11D0_BBF1_0020AF29375F_.wvu.Cols" hidden="1">'[78]TRAFFIC PARM'!$A$1:$C$65536,'[78]TRAFFIC PARM'!#REF!</definedName>
    <definedName name="Z_1C3AD0CD_BF0C_4C4E_9071_158A2F5215E2_.wvu.Rows" hidden="1">#REF!,#REF!,#REF!</definedName>
    <definedName name="Z_2185FC51_7502_43A8_900A_0000B7F738F9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26901781_AE15_11D3_8896_00C0DFEF98F1_.wvu.PrintArea" hidden="1">'[72]Свод-1'!$A:$IV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[80]Лист2!#REF!</definedName>
    <definedName name="Z_6EE4AFEA_8A42_11D0_BBF1_0020AF29375F_.wvu.Cols" hidden="1">'[78]ECONOMIC DATA'!$D$1:$F$65536,'[78]ECONOMIC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'[78]TRAFFIC CALC'!$D$1:$F$65536,'[78]TRAFFIC CALC'!#REF!</definedName>
    <definedName name="Z_6EE4AFFA_8A42_11D0_BBF1_0020AF29375F_.wvu.Cols" hidden="1">'[78]TRAFFIC PARM'!$D$1:$F$65536,'[78]TRAFFIC PARM'!#REF!</definedName>
    <definedName name="Z_6EE4B002_8A42_11D0_BBF1_0020AF29375F_.wvu.Cols" hidden="1">'[78]ECONOMIC DATA'!$A$1:$C$65536,'[78]ECONOMIC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'[78]TRAFFIC CALC'!$A$1:$C$65536,'[78]TRAFFIC CALC'!#REF!</definedName>
    <definedName name="Z_6EE4B012_8A42_11D0_BBF1_0020AF29375F_.wvu.Cols" hidden="1">'[78]TRAFFIC PARM'!$A$1:$C$65536,'[78]TRAFFIC PARM'!#REF!</definedName>
    <definedName name="Z_8730C1A1_E63D_11D4_8D95_0050BA8310F8_.wvu.Cols" hidden="1">#REF!</definedName>
    <definedName name="Z_9208C872_C6DF_11D0_B623_0020AF49B783_.wvu.Cols" hidden="1">'[78]ECONOMIC DATA'!$D$1:$F$65536,'[78]ECONOMIC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'[78]TRAFFIC CALC'!$D$1:$F$65536,'[78]TRAFFIC CALC'!#REF!</definedName>
    <definedName name="Z_9208C882_C6DF_11D0_B623_0020AF49B783_.wvu.Cols" hidden="1">'[78]TRAFFIC PARM'!$D$1:$F$65536,'[78]TRAFFIC PARM'!#REF!</definedName>
    <definedName name="Z_9208C88A_C6DF_11D0_B623_0020AF49B783_.wvu.Cols" hidden="1">'[78]ECONOMIC DATA'!$A$1:$C$65536,'[78]ECONOMIC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'[78]TRAFFIC CALC'!$A$1:$C$65536,'[78]TRAFFIC CALC'!#REF!</definedName>
    <definedName name="Z_9208C89A_C6DF_11D0_B623_0020AF49B783_.wvu.Cols" hidden="1">'[78]TRAFFIC PARM'!$A$1:$C$65536,'[78]TRAFFIC PARM'!#REF!</definedName>
    <definedName name="Z_92F7E099_0E3C_11D1_BBF1_0020AF29375F_.wvu.Cols" hidden="1">'[78]ECONOMIC DATA'!$D$1:$F$65536,'[78]ECONOMIC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'[78]TRAFFIC CALC'!$D$1:$F$65536,'[78]TRAFFIC CALC'!#REF!</definedName>
    <definedName name="Z_92F7E0A9_0E3C_11D1_BBF1_0020AF29375F_.wvu.Cols" hidden="1">'[78]TRAFFIC PARM'!$D$1:$F$65536,'[78]TRAFFIC PARM'!#REF!</definedName>
    <definedName name="Z_92F7E0B1_0E3C_11D1_BBF1_0020AF29375F_.wvu.Cols" hidden="1">'[78]ECONOMIC DATA'!$A$1:$C$65536,'[78]ECONOMIC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'[78]TRAFFIC CALC'!$A$1:$C$65536,'[78]TRAFFIC CALC'!#REF!</definedName>
    <definedName name="Z_92F7E0C1_0E3C_11D1_BBF1_0020AF29375F_.wvu.Cols" hidden="1">'[78]TRAFFIC PARM'!$A$1:$C$65536,'[78]TRAFFIC PARM'!#REF!</definedName>
    <definedName name="Z_94CB185F_509A_11D3_B82B_00E09800249C_.wvu.Rows" hidden="1">[81]Продажи!$A$5:$IV$5,[81]Продажи!$A$18:$IV$18</definedName>
    <definedName name="Z_9673D06C_8E2D_4E41_BE89_13756C9C3BAE_.wvu.PrintArea" hidden="1">#REF!</definedName>
    <definedName name="Z_96AA1B52_E178_11D0_BBF1_0020AF29375F_.wvu.Cols" hidden="1">'[78]ECONOMIC DATA'!$D$1:$F$65536,'[78]ECONOMIC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'[78]TRAFFIC CALC'!$D$1:$F$65536,'[78]TRAFFIC CALC'!#REF!</definedName>
    <definedName name="Z_96AA1B62_E178_11D0_BBF1_0020AF29375F_.wvu.Cols" hidden="1">'[78]TRAFFIC PARM'!$D$1:$F$65536,'[78]TRAFFIC PARM'!#REF!</definedName>
    <definedName name="Z_96AA1B6A_E178_11D0_BBF1_0020AF29375F_.wvu.Cols" hidden="1">'[78]ECONOMIC DATA'!$A$1:$C$65536,'[78]ECONOMIC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'[78]TRAFFIC CALC'!$A$1:$C$65536,'[78]TRAFFIC CALC'!#REF!</definedName>
    <definedName name="Z_96AA1B7A_E178_11D0_BBF1_0020AF29375F_.wvu.Cols" hidden="1">'[78]TRAFFIC PARM'!$A$1:$C$65536,'[78]TRAFFIC PARM'!#REF!</definedName>
    <definedName name="Z_99D15F62_90C4_405A_985F_7C185F19F985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'[78]ECONOMIC DATA'!$D$1:$F$65536,'[78]ECONOMIC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'[78]TRAFFIC CALC'!$D$1:$F$65536,'[78]TRAFFIC CALC'!#REF!</definedName>
    <definedName name="Z_AD1AC27D_B0C2_11D0_BBF1_0020AF29375F_.wvu.Cols" hidden="1">'[78]TRAFFIC PARM'!$D$1:$F$65536,'[78]TRAFFIC PARM'!#REF!</definedName>
    <definedName name="Z_AD1AC285_B0C2_11D0_BBF1_0020AF29375F_.wvu.Cols" hidden="1">'[78]ECONOMIC DATA'!$A$1:$C$65536,'[78]ECONOMIC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'[78]TRAFFIC CALC'!$A$1:$C$65536,'[78]TRAFFIC CALC'!#REF!</definedName>
    <definedName name="Z_AD1AC295_B0C2_11D0_BBF1_0020AF29375F_.wvu.Cols" hidden="1">'[78]TRAFFIC PARM'!$A$1:$C$65536,'[78]TRAFFIC PARM'!#REF!</definedName>
    <definedName name="Z_BA328375_936C_11D3_9E74_00062992D5D9_.wvu.Rows" hidden="1">[81]Продажи!$A$5:$IV$5,[81]Продажи!$A$18:$IV$18</definedName>
    <definedName name="Z_C0A63332_F77B_11D0_B623_0020AF49B783_.wvu.Cols" hidden="1">'[78]ECONOMIC DATA'!$D$1:$F$65536,'[78]ECONOMIC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'[78]TRAFFIC CALC'!$D$1:$F$65536,'[78]TRAFFIC CALC'!#REF!</definedName>
    <definedName name="Z_C0A63342_F77B_11D0_B623_0020AF49B783_.wvu.Cols" hidden="1">'[78]TRAFFIC PARM'!$D$1:$F$65536,'[78]TRAFFIC PARM'!#REF!</definedName>
    <definedName name="Z_C0A6334A_F77B_11D0_B623_0020AF49B783_.wvu.Cols" hidden="1">'[78]ECONOMIC DATA'!$A$1:$C$65536,'[78]ECONOMIC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'[78]TRAFFIC CALC'!$A$1:$C$65536,'[78]TRAFFIC CALC'!#REF!</definedName>
    <definedName name="Z_C0A6335A_F77B_11D0_B623_0020AF49B783_.wvu.Cols" hidden="1">'[78]TRAFFIC PARM'!$A$1:$C$65536,'[78]TRAFFIC PARM'!#REF!</definedName>
    <definedName name="Z_CB1D7872_F78D_11D0_B623_0020AF49B783_.wvu.Cols" hidden="1">'[78]ECONOMIC DATA'!$D$1:$F$65536,'[78]ECONOMIC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'[78]TRAFFIC CALC'!$D$1:$F$65536,'[78]TRAFFIC CALC'!#REF!</definedName>
    <definedName name="Z_CB1D7882_F78D_11D0_B623_0020AF49B783_.wvu.Cols" hidden="1">'[78]TRAFFIC PARM'!$D$1:$F$65536,'[78]TRAFFIC PARM'!#REF!</definedName>
    <definedName name="Z_CB1D788A_F78D_11D0_B623_0020AF49B783_.wvu.Cols" hidden="1">'[78]ECONOMIC DATA'!$A$1:$C$65536,'[78]ECONOMIC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'[78]TRAFFIC CALC'!$A$1:$C$65536,'[78]TRAFFIC CALC'!#REF!</definedName>
    <definedName name="Z_CB1D789A_F78D_11D0_B623_0020AF49B783_.wvu.Cols" hidden="1">'[78]TRAFFIC PARM'!$A$1:$C$65536,'[78]TRAFFIC PARM'!#REF!</definedName>
    <definedName name="Z_CB1D7A38_F78D_11D0_B623_0020AF49B783_.wvu.Cols" hidden="1">'[78]ECONOMIC DATA'!$D$1:$F$65536,'[78]ECONOMIC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'[78]TRAFFIC CALC'!$D$1:$F$65536,'[78]TRAFFIC CALC'!#REF!</definedName>
    <definedName name="Z_CB1D7A48_F78D_11D0_B623_0020AF49B783_.wvu.Cols" hidden="1">'[78]TRAFFIC PARM'!$D$1:$F$65536,'[78]TRAFFIC PARM'!#REF!</definedName>
    <definedName name="Z_CB1D7A50_F78D_11D0_B623_0020AF49B783_.wvu.Cols" hidden="1">'[78]ECONOMIC DATA'!$A$1:$C$65536,'[78]ECONOMIC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'[78]TRAFFIC CALC'!$A$1:$C$65536,'[78]TRAFFIC CALC'!#REF!</definedName>
    <definedName name="Z_CB1D7A60_F78D_11D0_B623_0020AF49B783_.wvu.Cols" hidden="1">'[78]TRAFFIC PARM'!$A$1:$C$65536,'[78]TRAFFIC PARM'!#REF!</definedName>
    <definedName name="Z_CB8A7D86_8A72_11D0_BBF1_0020AF29375F_.wvu.Cols" hidden="1">'[78]ECONOMIC DATA'!$D$1:$F$65536,'[78]ECONOMIC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'[78]TRAFFIC CALC'!$D$1:$F$65536,'[78]TRAFFIC CALC'!#REF!</definedName>
    <definedName name="Z_CB8A7D96_8A72_11D0_BBF1_0020AF29375F_.wvu.Cols" hidden="1">'[78]TRAFFIC PARM'!$D$1:$F$65536,'[78]TRAFFIC PARM'!#REF!</definedName>
    <definedName name="Z_CB8A7D9E_8A72_11D0_BBF1_0020AF29375F_.wvu.Cols" hidden="1">'[78]ECONOMIC DATA'!$A$1:$C$65536,'[78]ECONOMIC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'[78]TRAFFIC CALC'!$A$1:$C$65536,'[78]TRAFFIC CALC'!#REF!</definedName>
    <definedName name="Z_CB8A7DAE_8A72_11D0_BBF1_0020AF29375F_.wvu.Cols" hidden="1">'[78]TRAFFIC PARM'!$A$1:$C$65536,'[78]TRAFFIC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'[78]ECONOMIC DATA'!$D$1:$F$65536,'[78]ECONOMIC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'[78]TRAFFIC CALC'!$D$1:$F$65536,'[78]TRAFFIC CALC'!#REF!</definedName>
    <definedName name="Z_D2C4351A_8B21_11D0_BBF1_0020AF29375F_.wvu.Cols" hidden="1">'[78]TRAFFIC PARM'!$D$1:$F$65536,'[78]TRAFFIC PARM'!#REF!</definedName>
    <definedName name="Z_D2C43522_8B21_11D0_BBF1_0020AF29375F_.wvu.Cols" hidden="1">'[78]ECONOMIC DATA'!$A$1:$C$65536,'[78]ECONOMIC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'[78]TRAFFIC CALC'!$A$1:$C$65536,'[78]TRAFFIC CALC'!#REF!</definedName>
    <definedName name="Z_D2C43532_8B21_11D0_BBF1_0020AF29375F_.wvu.Cols" hidden="1">'[78]TRAFFIC PARM'!$A$1:$C$65536,'[78]TRAFFIC PARM'!#REF!</definedName>
    <definedName name="Z_DF5C41E4_E0D7_11D0_BBF1_0020AF29375F_.wvu.Cols" hidden="1">'[78]ECONOMIC DATA'!$D$1:$F$65536,'[78]ECONOMIC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'[78]TRAFFIC CALC'!$D$1:$F$65536,'[78]TRAFFIC CALC'!#REF!</definedName>
    <definedName name="Z_DF5C41F4_E0D7_11D0_BBF1_0020AF29375F_.wvu.Cols" hidden="1">'[78]TRAFFIC PARM'!$D$1:$F$65536,'[78]TRAFFIC PARM'!#REF!</definedName>
    <definedName name="Z_DF5C41FC_E0D7_11D0_BBF1_0020AF29375F_.wvu.Cols" hidden="1">'[78]ECONOMIC DATA'!$A$1:$C$65536,'[78]ECONOMIC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'[78]TRAFFIC CALC'!$A$1:$C$65536,'[78]TRAFFIC CALC'!#REF!</definedName>
    <definedName name="Z_DF5C420C_E0D7_11D0_BBF1_0020AF29375F_.wvu.Cols" hidden="1">'[78]TRAFFIC PARM'!$A$1:$C$65536,'[78]TRAFFIC PARM'!#REF!</definedName>
    <definedName name="Z_DF9ECF1C_04DF_11D1_B623_0020AF49B783_.wvu.Cols" hidden="1">'[78]ECONOMIC DATA'!$D$1:$F$65536,'[78]ECONOMIC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'[78]TRAFFIC CALC'!$D$1:$F$65536,'[78]TRAFFIC CALC'!#REF!</definedName>
    <definedName name="Z_DF9ECF2C_04DF_11D1_B623_0020AF49B783_.wvu.Cols" hidden="1">'[78]TRAFFIC PARM'!$D$1:$F$65536,'[78]TRAFFIC PARM'!#REF!</definedName>
    <definedName name="Z_DF9ECF34_04DF_11D1_B623_0020AF49B783_.wvu.Cols" hidden="1">'[78]ECONOMIC DATA'!$A$1:$C$65536,'[78]ECONOMIC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'[78]TRAFFIC CALC'!$A$1:$C$65536,'[78]TRAFFIC CALC'!#REF!</definedName>
    <definedName name="Z_DF9ECF44_04DF_11D1_B623_0020AF49B783_.wvu.Cols" hidden="1">'[78]TRAFFIC PARM'!$A$1:$C$65536,'[78]TRAFFIC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[82]Титул!$A$1</definedName>
    <definedName name="А3">#REF!</definedName>
    <definedName name="а5">[82]Ф5!$A$1</definedName>
    <definedName name="а6">[82]Ф6!$A$1</definedName>
    <definedName name="аL159">#REF!</definedName>
    <definedName name="аа">[83]Характеристика!$E$3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[84]MAIN!#REF!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'[85]Сводная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'[86]1'!$K$1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[87]СВОДНАЯ!$B$11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'[88]исход-итог'!$C$2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'[89]Метод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[90]НФИк!$A$17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'[91]касса-казань-декабрь'!$A$1:$I$24</definedName>
    <definedName name="База_Сортировки">#REF!</definedName>
    <definedName name="байк.руб.">'[92]Гр+'!#REF!</definedName>
    <definedName name="байк.у.е.">'[92]Гр+'!#REF!</definedName>
    <definedName name="бакс">[93]Характеристика!$D$2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[94]ЛитБ!$G$351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'[56]см. ЦЕНЫ '!$B$143</definedName>
    <definedName name="бл">[51]П!#REF!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'[92]Гр+'!#REF!</definedName>
    <definedName name="бог.у.е.">'[92]Гр+'!#REF!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'[42]матер.(октябрь)'!#REF!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[95]Здания!$B$7:$B$13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'[96]расш доходов'!$B$13:$B$24</definedName>
    <definedName name="вид_имущества">[96]расш_ББ_1!$B$15:$B$26</definedName>
    <definedName name="вид_расхода">'[96]расш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[97]Исходник!$S$4:$S$6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[84]MAIN!#REF!</definedName>
    <definedName name="впавпас" hidden="1">[84]MAIN!#REF!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[98]благоустр.!#REF!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'[92]Гр+'!#REF!</definedName>
    <definedName name="встр.пр.од.у.е.">'[92]Гр+'!#REF!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'[56]см. ЦЕНЫ '!$B$251</definedName>
    <definedName name="вт">#REF!</definedName>
    <definedName name="втам">#REF!</definedName>
    <definedName name="ВторРазмОфКонв">[99]Параметры!#REF!</definedName>
    <definedName name="ВторРазмФинОф">[99]Параметры!#REF!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[60]DCF!$R$69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[54]Служебный!$B$1:$B$2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'[42]матер.(октябрь)'!#REF!</definedName>
    <definedName name="Выплат">#REF!</definedName>
    <definedName name="выплат1">[100]Кредит!$D$6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'[92]Гр+'!#REF!</definedName>
    <definedName name="гакк.у.е.">'[92]Гр+'!#REF!</definedName>
    <definedName name="ганкшнгшн">[0]!ганкшнгшн</definedName>
    <definedName name="гг">[101]восст!$B$1:$J$65536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'[42]матер.(октябрь)'!#REF!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[102]свед!$B$2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'[92]Гр+'!#REF!</definedName>
    <definedName name="гр.у.е.">'[92]Гр+'!#REF!</definedName>
    <definedName name="граф2" hidden="1">[103]T1!#REF!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[104]Лист1!$B$41</definedName>
    <definedName name="гро0">[0]!гро0</definedName>
    <definedName name="группировка_Балитэкс">OFFSET([105]справочники!$A$100,0,0, COUNTA([105]справочники!$A$100:$A$110),2)</definedName>
    <definedName name="группировка_ГПБИ">OFFSET([105]справочники!$A$83,0,0, COUNTA([105]справочники!$A$83:$A$98),2)</definedName>
    <definedName name="группировка_Лиона">OFFSET([105]справочники!$A$73,0,0, COUNTA([105]справочники!$A$73:$A$81),2)</definedName>
    <definedName name="группировка_статей">OFFSET([105]справочники!$A$3,0,0, COUNTA([105]справочники!$A$3:$A$39),2)</definedName>
    <definedName name="группировка_Харкона">OFFSET([105]справочники!$A$40,0,0, COUNTA([105]справочники!$A$40:$A$73),2)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[95]Доходный!$B$1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[82]Титул!$I$7</definedName>
    <definedName name="дата_оцен">[106]Служебный!$B$7</definedName>
    <definedName name="Дата_оценки">#REF!</definedName>
    <definedName name="дата_файла">[4]Лист1!#REF!</definedName>
    <definedName name="датаоценки">'[107]Все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'[56]см.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[108]износ!$A$1:$D$65536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[109]свед!$B$14</definedName>
    <definedName name="дло" hidden="1">{"'Prices'!$A$4:$J$27"}</definedName>
    <definedName name="длор">#REF!</definedName>
    <definedName name="длр">#REF!</definedName>
    <definedName name="дм">[110]Словари!$B$4:$B$16</definedName>
    <definedName name="дни">[111]нормы!$G$3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'[92]Гр+'!#REF!</definedName>
    <definedName name="долг.ст.б.">#REF!</definedName>
    <definedName name="долг.у.е.">'[92]Гр+'!#REF!</definedName>
    <definedName name="долгвстр">'[112]каскад,5'!#REF!</definedName>
    <definedName name="долгвстрмфтц">'[112]каскад,5'!#REF!</definedName>
    <definedName name="долгкв">'[112]каскад,5'!#REF!</definedName>
    <definedName name="долгквмфтц">'[112]каскад,5'!#REF!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'[113]исход-итог'!$C$2</definedName>
    <definedName name="долл1">'[114]общие сведения'!$B$7</definedName>
    <definedName name="Доллар">[115]Исходные!$B$12</definedName>
    <definedName name="Доллар_доход">'[116]Плановые курсы валют'!$B$2</definedName>
    <definedName name="Доллар_расход">'[116]Плановые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[99]Параметры!$B$14</definedName>
    <definedName name="ДоляНДС">#N/A</definedName>
    <definedName name="ДоляОферты">#REF!</definedName>
    <definedName name="ДоляПродаваемая">[99]Параметры!$B$13</definedName>
    <definedName name="дом">'[117]рын счит'!$B$3:$B$3</definedName>
    <definedName name="домЛучко">'[114]Метод остатка'!#REF!</definedName>
    <definedName name="доп">'[118]исходные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[118]списки!$E$47</definedName>
    <definedName name="дор">[109]свед!$B$14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[108]восст!$O$3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'[116]Плановые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[22]Баланс95!#REF!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[119]Титул!$E$29:$E$31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[84]MAIN!#REF!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'[120]Метод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'[56]см.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[121]Concept!#REF!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'[122]Оплата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'[111]общие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'[123]Метод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[124]НФИк!$A$17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[90]НФИк!$A$17</definedName>
    <definedName name="ЗУ_Фаэтон">[125]НФИк!$A$17</definedName>
    <definedName name="зх">'[89]Метод остатка'!#REF!</definedName>
    <definedName name="зхщ">'[89]Метод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'[126]Машины и оборудование'!$E$56</definedName>
    <definedName name="И_Ср_Пр">'[126]Машины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'[92]Гр+'!#REF!</definedName>
    <definedName name="ильюш.у.е.">'[92]Гр+'!#REF!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[118]списки!$E$2</definedName>
    <definedName name="Имя">[127]НФИк!$A$17</definedName>
    <definedName name="ИНач">#REF!</definedName>
    <definedName name="ИНВЕСИ">[51]П!#REF!</definedName>
    <definedName name="иНВЕСТ">[51]П!#REF!</definedName>
    <definedName name="ИнвестСвод">[128]ИнвестицииСвод!#REF!</definedName>
    <definedName name="инд">[127]график01.09.02!$D$3</definedName>
    <definedName name="Инд_цп_2000">#REF!</definedName>
    <definedName name="индекс">[82]Титул!$R$16</definedName>
    <definedName name="Индекс_композит">#REF!</definedName>
    <definedName name="Индекс_Пересчета">'[126]Здан-затр'!$C$83</definedName>
    <definedName name="Индекс_перехода">#REF!</definedName>
    <definedName name="Индекс_стоимости">[129]Служебный!$J$18</definedName>
    <definedName name="Индекс_цп">#REF!</definedName>
    <definedName name="Индексация">'[130]ЗП (Индексация)'!$A$3:$AM$356</definedName>
    <definedName name="ИНЕРТНЫЕ_СЫПУЧКА">'[56]см. ЦЕНЫ '!$B$160</definedName>
    <definedName name="Инт">[4]Лист1!#REF!</definedName>
    <definedName name="Инфл">#REF!</definedName>
    <definedName name="Инфраструктура_Infrastructure">[48]Inputs_Assumptions!$G$26</definedName>
    <definedName name="иОз">[4]Лист1!$U$39</definedName>
    <definedName name="иОм">[4]Лист1!$U$10</definedName>
    <definedName name="иОс">[4]Лист1!$U$14</definedName>
    <definedName name="Ира">[125]НФИк!$A$17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[131]Исходник!$A$2:$J$99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[132]АБ!#REF!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[133]Контрагенты!$C$6:$C$22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[134]Трансформаторн!$F$8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OFFSET([135]справочники!$A$83,0,0, COUNTA([135]справочники!$A$83:$A$98),1)</definedName>
    <definedName name="йййййййй" hidden="1">{#N/A,#N/A,TRUE,"Буржуям"}</definedName>
    <definedName name="ййууу" hidden="1">[84]MAIN!#REF!</definedName>
    <definedName name="ййцуйц">OFFSET([135]справочники!$A$83,0,0, COUNTA([135]справочники!$A$83:$A$98),1)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'[92]Гр+'!#REF!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[51]П!$C$136</definedName>
    <definedName name="К1_К">#REF!</definedName>
    <definedName name="К1_К_upper">#REF!</definedName>
    <definedName name="к25.руб.">'[92]Гр+'!#REF!</definedName>
    <definedName name="к25с.руб.">'[92]Гр+'!#REF!</definedName>
    <definedName name="к25с.у.е.">'[92]Гр+'!#REF!</definedName>
    <definedName name="к26.руб.">'[92]Гр+'!#REF!</definedName>
    <definedName name="к26.у.е.">'[92]Гр+'!#REF!</definedName>
    <definedName name="к26с.руб.">'[92]Гр+'!#REF!</definedName>
    <definedName name="к26с.у.е.">'[92]Гр+'!#REF!</definedName>
    <definedName name="к4">[51]П!$C$139</definedName>
    <definedName name="к4.руб.">'[85]Сводная ЛССМУ'!#REF!</definedName>
    <definedName name="к4.у.е.">'[85]Сводная ЛССМУ'!#REF!</definedName>
    <definedName name="к5.руб.">'[92]Гр+'!#REF!</definedName>
    <definedName name="к5.у.е.">'[92]Гр+'!#REF!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[98]благоустр.!#REF!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[136]Кредит!$D$6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'[137]Share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'[120]Метод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'[89]Метод остатка'!#REF!</definedName>
    <definedName name="КИТ">'[138]Оплата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[84]MAIN!#REF!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'[96]расш доходов'!$C$13:$C$16</definedName>
    <definedName name="код_статьи_имущество">[96]расш_ББ_1!$C$15:$C$18</definedName>
    <definedName name="код_статьи_р">'[96]расш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'[120]Метод остатка'!#REF!</definedName>
    <definedName name="Количество_торговых_мест">'[89]Метод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[139]Лист4!#REF!</definedName>
    <definedName name="ком.руб.">[139]Лист4!#REF!</definedName>
    <definedName name="ком.у.е.">[139]Лист4!#REF!</definedName>
    <definedName name="Комиссия">[140]Параметры!$B$22</definedName>
    <definedName name="Комиссия_тек">[4]Лист1!$K$204</definedName>
    <definedName name="коммар">[121]Concept!#REF!</definedName>
    <definedName name="коммпр">[121]Concept!#REF!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'[141]Прогноз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OFFSET([142]Лист2!$F$500,0,0,COUNTA([142]Лист2!$F$500:$F$500),1)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'[109]общие сведения'!$B$14</definedName>
    <definedName name="кор_ка">[4]Лист1!$V$234</definedName>
    <definedName name="корм_петухи">[111]нормы!#REF!</definedName>
    <definedName name="корн">[4]Лист1!$Z$89</definedName>
    <definedName name="короба">#REF!</definedName>
    <definedName name="КОРОБКА_РАСПАЯЧ">'[42]матер.(октябрь)'!#REF!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'[120]Метод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'[118]исходные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'[56]см.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'[143]Оплата по графикам'!$B$137</definedName>
    <definedName name="КредитГраждБ">[144]Параметры!$B$24</definedName>
    <definedName name="КредитПетр">[145]Параметры!$B$24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'[56]см. ЦЕНЫ '!#REF!</definedName>
    <definedName name="КРОВЛЯ_МЕТ.ЧЕРЕП">'[56]см.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'[146]общие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'[92]Гр+'!#REF!</definedName>
    <definedName name="курс.гак.">'[92]Гр+'!#REF!</definedName>
    <definedName name="курс.сер1оч.">'[92]Гр+'!#REF!</definedName>
    <definedName name="Курс_долл">'[147]Исх дан'!$B$2</definedName>
    <definedName name="Курс_доллара">[148]Исход.инф.!$B$4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'[92]Гр+'!#REF!</definedName>
    <definedName name="курсбайк">'[92]Гр+'!#REF!</definedName>
    <definedName name="курсбог">'[92]Гр+'!#REF!</definedName>
    <definedName name="курсгр">'[92]Гр+'!#REF!</definedName>
    <definedName name="курсдолг.">'[92]Гр+'!#REF!</definedName>
    <definedName name="Курсдолл">'[147]Исх дан'!#REF!</definedName>
    <definedName name="курсил">'[92]Гр+'!#REF!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'[92]Гр+'!#REF!</definedName>
    <definedName name="курск26">'[92]Гр+'!#REF!</definedName>
    <definedName name="курск26с">'[92]Гр+'!#REF!</definedName>
    <definedName name="курск4">'[85]Сводная ЛССМУ'!#REF!</definedName>
    <definedName name="курск5">'[92]Гр+'!#REF!</definedName>
    <definedName name="курсланск">'[92]Гр+'!#REF!</definedName>
    <definedName name="курсланск.с.">'[92]Гр+'!#REF!</definedName>
    <definedName name="курсн.г.">'[92]Гр+'!#REF!</definedName>
    <definedName name="КурсПериода">#REF!</definedName>
    <definedName name="курспрв">'[92]Гр+'!#REF!</definedName>
    <definedName name="КурсР1">[4]Лист1!#REF!</definedName>
    <definedName name="курссер.21.">'[92]Гр+'!#REF!</definedName>
    <definedName name="курссер.2оч.">'[92]Гр+'!#REF!</definedName>
    <definedName name="курст3">'[92]Гр+'!#REF!</definedName>
    <definedName name="курстс">'[92]Гр+'!#REF!</definedName>
    <definedName name="курсф1">'[92]Гр+'!#REF!</definedName>
    <definedName name="курсф1с">'[92]Гр+'!#REF!</definedName>
    <definedName name="курсф2">'[92]Гр+'!#REF!</definedName>
    <definedName name="курсф2с">'[92]Гр+'!#REF!</definedName>
    <definedName name="курсф3А">'[92]Гр+'!#REF!</definedName>
    <definedName name="курсф3Ас">'[92]Гр+'!#REF!</definedName>
    <definedName name="курсф4">'[85]Сводная ЛССМУ'!#REF!</definedName>
    <definedName name="курсф4с">'[85]Сводная ЛССМУ'!#REF!</definedName>
    <definedName name="курсф5">'[85]Сводная ЛССМУ'!#REF!</definedName>
    <definedName name="курсфок">'[92]Гр+'!#REF!</definedName>
    <definedName name="курсЦБ">#REF!</definedName>
    <definedName name="курсш.о.">'[92]Гр+'!#REF!</definedName>
    <definedName name="курсы">OFFSET([105]КУРС!$A$1,0,0, COUNTA([105]КУРС!$A$1:$A$3000),3)</definedName>
    <definedName name="курсэнг1">'[92]Гр+'!#REF!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'[92]Гр+'!#REF!</definedName>
    <definedName name="ланск.с.руб.">'[92]Гр+'!#REF!</definedName>
    <definedName name="ланск.с.у.е.">'[92]Гр+'!#REF!</definedName>
    <definedName name="ланск.у.е.">'[92]Гр+'!#REF!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'[56]см.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'[149]1 -фундам Н.4'!#REF!</definedName>
    <definedName name="лждл">[4]Лист1!$N$3</definedName>
    <definedName name="лизинг">[4]MACRO!$F$25</definedName>
    <definedName name="Лизинг_миксеров">'[143]Оплата по графикам'!$B$108</definedName>
    <definedName name="Лизинг_телеком">'[143]Оплата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[150]восст!$B$1:$J$65536</definedName>
    <definedName name="лолол" hidden="1">{"glc1",#N/A,FALSE,"GLC";"glc2",#N/A,FALSE,"GLC";"glc3",#N/A,FALSE,"GLC";"glc4",#N/A,FALSE,"GLC";"glc5",#N/A,FALSE,"GLC"}</definedName>
    <definedName name="лолололо">[151]Описание!$C$3:$AW$32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'[118]исходные данные'!$I$14</definedName>
    <definedName name="Лсв_02">[4]Лист1!#REF!</definedName>
    <definedName name="ЛССМУ">'[112]каскад,5'!#REF!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'[42]матер.(октябрь)'!#REF!</definedName>
    <definedName name="Люда">[134]Трансформаторн!$F$8</definedName>
    <definedName name="Люзя" hidden="1">{#N/A,#N/A,TRUE,"Буржуям"}</definedName>
    <definedName name="ля">[152]Износ!$A$3:$T$92</definedName>
    <definedName name="Лямбда">#N/A</definedName>
    <definedName name="м">[153]Исход.инф.!$C$8</definedName>
    <definedName name="М.ПРОКАТ">'[56]см. ЦЕНЫ '!#REF!</definedName>
    <definedName name="М_КАРКАСЫ">'[56]см.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'[133]Параметры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'[56]см.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[154]НФИк!$A$17</definedName>
    <definedName name="моро1">[124]НФИк!$A$17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'[42]матер.(октябрь)'!#REF!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'[92]Гр+'!#REF!</definedName>
    <definedName name="н.г.у.е.">'[92]Гр+'!#REF!</definedName>
    <definedName name="н.форма" hidden="1">{#N/A,#N/A,TRUE,"Буржуям"}</definedName>
    <definedName name="Н_дорож">#REF!</definedName>
    <definedName name="н76е7у5">[0]!н76е7у5</definedName>
    <definedName name="Н8">[155]Трансформаторн!$F$8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[156]Исходник!$U$4:$U$17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[51]П!#REF!</definedName>
    <definedName name="Нал1">[4]Лист1!#REF!</definedName>
    <definedName name="НалИмущ">[157]Параметры!#REF!</definedName>
    <definedName name="НалНДС">#REF!</definedName>
    <definedName name="Налог_на_прибыль">[51]П!$A$19:$IV$19,[51]П!$A$12</definedName>
    <definedName name="налоги1" hidden="1">{#N/A,#N/A,TRUE,"Буржуям"}</definedName>
    <definedName name="налоги3" hidden="1">{#N/A,#N/A,TRUE,"Буржуям"}</definedName>
    <definedName name="НалОфКонв">[99]Параметры!#REF!</definedName>
    <definedName name="НалПриб">#REF!</definedName>
    <definedName name="НалПрибОкт">[158]Параметры!$B$16</definedName>
    <definedName name="НалРекл">[157]Параметры!#REF!</definedName>
    <definedName name="НалФинОф">[99]Параметры!#REF!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[51]!GetSANDValue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[140]Параметры!$B$18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[159]НФИк!$A$17</definedName>
    <definedName name="ннненен" hidden="1">{"glc1",#N/A,FALSE,"GLC";"glc2",#N/A,FALSE,"GLC";"glc3",#N/A,FALSE,"GLC";"glc4",#N/A,FALSE,"GLC";"glc5",#N/A,FALSE,"GLC"}</definedName>
    <definedName name="нннне" hidden="1">[84]MAIN!#REF!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[51]П!#REF!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[112]бог!#REF!</definedName>
    <definedName name="общ.пл.">[112]бог!#REF!</definedName>
    <definedName name="общ.пл.встр.">#REF!</definedName>
    <definedName name="общ.пл.кв.">[112]бог!#REF!</definedName>
    <definedName name="ОбщаяПл">'[99]Сводный-затраты'!$C$3</definedName>
    <definedName name="объем">[93]Характеристика!$B$37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[112]бог!#REF!</definedName>
    <definedName name="ожид.закл.кв.у.е.">[112]бог!#REF!</definedName>
    <definedName name="ожид.незакл.встр.">#REF!</definedName>
    <definedName name="ожид.незакл.встр.у.е.">#REF!</definedName>
    <definedName name="ожид.незакл.дог.">[112]бог!#REF!</definedName>
    <definedName name="ожид.незакл.кв.у.е.">[112]бог!#REF!</definedName>
    <definedName name="ожид.непрод.встр.">#REF!</definedName>
    <definedName name="ожид.непрод.кв.">[112]бог!#REF!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'[160]Таблица 8'!#REF!</definedName>
    <definedName name="оленреа">[0]!оленреа</definedName>
    <definedName name="олл">[161]Содержание!$J$15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[133]Контрагенты!$C$76:$C$78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[118]списки!$E$34</definedName>
    <definedName name="опл_имп">[118]списки!$E$30</definedName>
    <definedName name="опла.кв.руб.безмфтц">'[112]каскад,5'!#REF!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[112]бог!#REF!</definedName>
    <definedName name="оплач.кв.руб.мфтц">#REF!</definedName>
    <definedName name="оплач.кв.у.е.">[112]бог!#REF!</definedName>
    <definedName name="оплач.комм.встр.">#REF!</definedName>
    <definedName name="оплач.комм.доп.кв.">[112]бог!#REF!</definedName>
    <definedName name="оплач.комм.кв.">[112]бог!#REF!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[162]Словари!$B$5:$B$6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[48]Inputs_Assumptions!$D$226:$D$226</definedName>
    <definedName name="ОФР2" hidden="1">{"'интерфейс'!$J$31:$M$43"}</definedName>
    <definedName name="ОФР3" hidden="1">{"'интерфейс'!$J$31:$M$43"}</definedName>
    <definedName name="ОХ">[133]Контрагенты!$C$24:$C$54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[52]Настройка!$A$5</definedName>
    <definedName name="павпавпас" hidden="1">[84]MAIN!#REF!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'[147]Предпр.-взвеш.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'[92]Гр+'!#REF!</definedName>
    <definedName name="ПВС1">[163]НФИк!$A$17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[92]ВводД!$C$1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[148]Исход.инф.!$B$9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'[92]Гр+'!#REF!</definedName>
    <definedName name="план04МФТЦ">'[92]Гр+'!#REF!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[99]Параметры!$B$12</definedName>
    <definedName name="ПлощадьУчастка">[99]Параметры!$B$10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'[164]Предпр.-взвеш.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'[56]см.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[51]П!#REF!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'[89]Метод остатка'!#REF!</definedName>
    <definedName name="потолок">#REF!</definedName>
    <definedName name="Потребители">'[165]Пр.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[111]нормы!$E$3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'[166]Машины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[112]бог!#REF!</definedName>
    <definedName name="прод.пл.встр.">#REF!</definedName>
    <definedName name="прод.пл.встр.мфтц">#REF!</definedName>
    <definedName name="прод.пл.кв.">[112]бог!#REF!</definedName>
    <definedName name="прод.пл.кв.мфтц">#REF!</definedName>
    <definedName name="прод.пл.мфтц">'[112]мфтц,к.4'!#REF!</definedName>
    <definedName name="прод.ст.">#REF!</definedName>
    <definedName name="Продажи">'[167]Расчёт 2005'!$K$4</definedName>
    <definedName name="Продажи2">#REF!</definedName>
    <definedName name="продан.пл.">[112]бог!#REF!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'[168]Исх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[129]Служебный!$J$7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'[89]Метод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'[56]см.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[92]ВводД!$E$1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[118]списки!$E$21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[94]ЛитБ!$G$351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[84]MAIN!#REF!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[169]Начало!A1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[170]затр_подх!$A$16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'[73]пр-во'!$X$11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[112]бог!#REF!</definedName>
    <definedName name="свобод.пл.">'[112]каскад,5'!#REF!</definedName>
    <definedName name="свобод.площ.">[112]бог!#REF!</definedName>
    <definedName name="сводн.площ.">#REF!</definedName>
    <definedName name="Сводный_график_по_Мосмева">'[143]Оплата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'[92]Гр+'!#REF!</definedName>
    <definedName name="сер.1оч.у.е.">'[92]Гр+'!#REF!</definedName>
    <definedName name="сер.2оч.руб.">'[92]Гр+'!#REF!</definedName>
    <definedName name="сер.2оч.у.е.">'[92]Гр+'!#REF!</definedName>
    <definedName name="сер31.руб.">'[92]Гр+'!#REF!</definedName>
    <definedName name="сер31.у.е.">'[92]Гр+'!#REF!</definedName>
    <definedName name="Серная_кислота">#REF!</definedName>
    <definedName name="Сероводород_на_соб._нужды__">#REF!</definedName>
    <definedName name="си">[152]Описание!$C$3:$AW$32</definedName>
    <definedName name="сигнализация">#REF!</definedName>
    <definedName name="ск4">'[146]общие данные'!$F$3</definedName>
    <definedName name="ск62">'[146]общие данные'!$G$3</definedName>
    <definedName name="ск79">'[146]общие данные'!$H$3</definedName>
    <definedName name="ск80б">'[146]общие данные'!$K$3</definedName>
    <definedName name="ск80к">'[146]общие данные'!$I$3</definedName>
    <definedName name="скид">#REF!</definedName>
    <definedName name="скидка">[92]ВводД!$M$1</definedName>
    <definedName name="скпл">'[146]общие данные'!$L$3</definedName>
    <definedName name="скуцс">'[4]за месяц'!#REF!</definedName>
    <definedName name="слон" hidden="1">{#N/A,#N/A,TRUE,"Буржуям"}</definedName>
    <definedName name="см1_СТЕНЫ">'[171]СМ.ВЫШЕ НОЛЯ'!#REF!</definedName>
    <definedName name="см3_КРОВЛЯ">'[171]СМ.ВЫШЕ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'[171]СМ.ВЫШЕ НОЛЯ'!#REF!</definedName>
    <definedName name="смета2">#REF!</definedName>
    <definedName name="смета3">#REF!</definedName>
    <definedName name="смета3_КРЫША">'[171]СМ.ВЫШЕ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[172]Словари!$A$5:$A$121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[173]Лист1!$C$14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INDEX('[174] ТЭП '!$A:$A,2):INDEX('[174] ТЭП '!$A:$A,COUNTA('[174]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[99]Параметры!$B$24</definedName>
    <definedName name="Сравн" hidden="1">{"assets",#N/A,FALSE,"historicBS";"liab",#N/A,FALSE,"historicBS";"is",#N/A,FALSE,"historicIS";"ratios",#N/A,FALSE,"ratios"}</definedName>
    <definedName name="СрД">'[118]исходные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'[175]ставка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[162]Словари!$C$5:$C$13</definedName>
    <definedName name="статьи_Балитэкс">OFFSET([105]справочники!$A$100,0,0, COUNTA([105]справочники!$A$100:$A$120),1)</definedName>
    <definedName name="статьи_ГПБИ_GPBI">OFFSET([105]справочники!$A$83,0,0, COUNTA([105]справочники!$A$83:$A$98),1)</definedName>
    <definedName name="статьи_Лиона">OFFSET([105]справочники!$A$73,0,0, COUNTA([105]справочники!$A$73:$A$81),1)</definedName>
    <definedName name="статьи_расходов">OFFSET([105]справочники!$A$3,0,0, COUNTA([105]справочники!$A$3:$A$39),1)</definedName>
    <definedName name="Статьи_Харкона">OFFSET([105]справочники!$A$40,0,0, COUNTA([105]справочники!$A$40:$A$72),1)</definedName>
    <definedName name="статья">#REF!</definedName>
    <definedName name="СтДеп">[99]Параметры!$B$33</definedName>
    <definedName name="СтДепПетр">[145]Параметры!$B$22</definedName>
    <definedName name="СтДиск">[99]Параметры!$B$36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[99]Параметры!$B$34</definedName>
    <definedName name="СтКред">[140]Параметры!$B$21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'[165]Пр. №3 Справочник "Контрагенты"'!$H$5:$H$30</definedName>
    <definedName name="СтПродаж">[99]Параметры!$B$35</definedName>
    <definedName name="Стр" hidden="1">{#N/A,#N/A,TRUE,"Буржуям"}</definedName>
    <definedName name="СтРеф">[157]Параметры!#REF!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[112]бог!#REF!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[112]бог!#REF!</definedName>
    <definedName name="Сумма">#REF!</definedName>
    <definedName name="сумма1">[100]Кредит!$A$6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[176]Лист1!$A$1:$A$6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'[92]Гр+'!#REF!</definedName>
    <definedName name="т3.у.е.">'[92]Гр+'!#REF!</definedName>
    <definedName name="т3с.руб.">'[92]Гр+'!#REF!</definedName>
    <definedName name="т3с.у.е.">'[92]Гр+'!#REF!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'[177]Метод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'[117]рын счит'!$B$3:$B$3</definedName>
    <definedName name="таня">[178]Трансформаторн!$F$8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[157]Параметры!$B$22</definedName>
    <definedName name="ТЕПЛОИЗОЛЯЦИЯ">'[56]см. ЦЕНЫ '!$B$207</definedName>
    <definedName name="теплоизоляциястен">#REF!</definedName>
    <definedName name="термостат_головка">[179]сантех...!#REF!</definedName>
    <definedName name="термостатич_головка">[179]сантех...!#REF!</definedName>
    <definedName name="Тип">#REF!</definedName>
    <definedName name="Тип_бюджета">#REF!</definedName>
    <definedName name="тип1">[100]Кредит!$E$6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[180]мса_СКЛАД!$H$30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[181]Содержание!$J$15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'[42]матер.(октябрь)'!#REF!</definedName>
    <definedName name="трубы">#REF!</definedName>
    <definedName name="ТРЦ_ShoppingСenter">[48]Inputs_Assumptions!$B$26</definedName>
    <definedName name="тт">#REF!</definedName>
    <definedName name="ттт">[182]предприятия!$C$2:$C$3228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[51]П!#REF!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[59]НФИк!$A$17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[127]НФИк!$A$17</definedName>
    <definedName name="УЕКУГИ2">[183]Начало!A1</definedName>
    <definedName name="уеуке4е" hidden="1">[29]GLC_ratios_Jun!$D$15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[111]нормы!$E$234:$E$236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[184]Ниточки!$B$5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'[185]3.3.31.'!$A$17:$E$106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'[92]Гр+'!#REF!</definedName>
    <definedName name="ф1.у.е.">'[92]Гр+'!#REF!</definedName>
    <definedName name="ф110">#REF!</definedName>
    <definedName name="ф120">#REF!</definedName>
    <definedName name="ф1с.руб.">'[92]Гр+'!#REF!</definedName>
    <definedName name="ф1с.у.е.">'[92]Гр+'!#REF!</definedName>
    <definedName name="Ф2">[4]Лист1!$F$33</definedName>
    <definedName name="ф2.руб.">'[92]Гр+'!#REF!</definedName>
    <definedName name="ф2.у.е.">'[92]Гр+'!#REF!</definedName>
    <definedName name="ф2с.руб.">'[92]Гр+'!#REF!</definedName>
    <definedName name="ф2с.у.е.">'[92]Гр+'!#REF!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'[92]Гр+'!#REF!</definedName>
    <definedName name="ф3А.у.е.">'[92]Гр+'!#REF!</definedName>
    <definedName name="ф3Ас.руб.">'[92]Гр+'!#REF!</definedName>
    <definedName name="ф3Ас.у.е.">'[92]Гр+'!#REF!</definedName>
    <definedName name="ф4.руб.">'[92]Гр+'!#REF!</definedName>
    <definedName name="ф4.у.е.">'[92]Гр+'!#REF!</definedName>
    <definedName name="ф4с.руб.">'[85]Сводная ЛССМУ'!#REF!</definedName>
    <definedName name="ф4с.у.е.">'[85]Сводная ЛССМУ'!#REF!</definedName>
    <definedName name="ф5.руб.">'[85]Сводная ЛССМУ'!#REF!</definedName>
    <definedName name="ф5.у.е.">'[85]Сводная ЛССМУ'!#REF!</definedName>
    <definedName name="ф5с.руб.">'[85]Сводная ЛССМУ'!#REF!</definedName>
    <definedName name="ф5с.у.е.">'[85]Сводная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[152]Описание!$C$3:$AW$32</definedName>
    <definedName name="ФакторЗатухания">'[141]Прогноз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[186]Данные!$B$5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[99]Параметры!#REF!</definedName>
    <definedName name="ФЙУКАЕ" hidden="1">{#VALUE!,#N/A,TRUE,0}</definedName>
    <definedName name="фкнно" hidden="1">{"'Prices'!$A$4:$J$27"}</definedName>
    <definedName name="фок.руб.">'[92]Гр+'!#REF!</definedName>
    <definedName name="фок.у.е.">'[92]Гр+'!#REF!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[51]!GetSANDValue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'[116]Плановые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[84]MAIN!#REF!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[51]П!#REF!</definedName>
    <definedName name="х">#REF!</definedName>
    <definedName name="х2">#REF!</definedName>
    <definedName name="хз">'[89]Метод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[187]Начало!$J$7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'[112]каскад,5'!#REF!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[82]Титул!$D$12,[82]Титул!$E$15,[82]Титул!$C$20,[82]Титул!$L$12:$O$17</definedName>
    <definedName name="чист3">[82]Ф2!$M$22:$Q$30,[82]Ф2!$M$34:$Q$42,[82]Ф2!$M$46:$Q$48,[82]Ф2!$M$53:$Q$54,[82]Ф2!$M$59:$Q$59,[82]Ф2!$M$65:$Q$65,[82]Ф2!$M$68:$Q$72</definedName>
    <definedName name="чист4">[82]Ф4!$M$27:$Q$28,[82]Ф4!$K$29:$L$32,[82]Ф4!$M$30:$Q$34,[82]Ф4!$K$37:$L$40,[82]Ф4!$M$37:$Q$37,[82]Ф4!$M$40:$Q$40,[82]Ф4!$M$41,[82]Ф4!$M$42:$Q$45,[82]Ф4!$K$44:$L$45,[82]Ф4!$J$50:$J$52</definedName>
    <definedName name="чист5">[82]Ф5!$J$26:$Q$30,[82]Ф5!$J$33:$Q$42,[82]Ф5!$J$51:$Q$56,[82]Ф5!$J$66:$Q$67,[82]Ф5!$J$72:$Q$74,[82]Ф5!$J$76:$Q$79,[82]Ф5!$J$81:$Q$82,[82]Ф5!$J$89:$J$97,[82]Ф5!$N$89:$Q$97,[82]Ф5!$J$105:$J$110,[82]Ф5!$N$105:$Q$110,[82]Ф5!$J$118:$J$119,[82]Ф5!$J$132:$J$133,[82]Ф5!$J$140:$M$141,[82]Ф5!$J$143:$M$145,[82]Ф5!$J$148:$M$150,[82]Ф5!$J$157:$Q$160</definedName>
    <definedName name="чист6">[82]Ф6!$L$19,[82]Ф6!$J$21:$N$25,[82]Ф6!$J$29:$N$31,[82]Ф6!$J$34:$N$37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'[92]Гр+'!#REF!</definedName>
    <definedName name="ш.оз.у.е.">'[92]Гр+'!#REF!</definedName>
    <definedName name="шаб">'[188]Инвестиции(18)'!#REF!</definedName>
    <definedName name="шахты">'[89]Метод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[101]рын!$B$1:$L$65536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'[42]матер.(октябрь)'!#REF!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[101]износ!$B$1:$I$65536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[97]Исходник!$R$4:$R$6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'[92]Гр+'!#REF!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[99]Параметры!$B$11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[152]Описание!$A$3:$IV$43</definedName>
    <definedName name="юр.отд.">'[112]каскад,5'!#REF!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[90]НФИк!$A$17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'[92]Гр+'!#REF!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51" i="2" l="1"/>
  <c r="BX50" i="2"/>
  <c r="BX49" i="2"/>
  <c r="BX48" i="2"/>
  <c r="BX47" i="2"/>
  <c r="BX46" i="2"/>
  <c r="BX45" i="2"/>
  <c r="BX44" i="2"/>
  <c r="BX41" i="2"/>
  <c r="BX40" i="2"/>
  <c r="BX39" i="2"/>
  <c r="BX38" i="2"/>
  <c r="BX37" i="2"/>
  <c r="BX36" i="2"/>
  <c r="BX35" i="2"/>
  <c r="BX34" i="2"/>
  <c r="BX33" i="2"/>
  <c r="BX32" i="2"/>
  <c r="BX31" i="2"/>
  <c r="BX30" i="2"/>
  <c r="BX29" i="2"/>
  <c r="BX28" i="2"/>
  <c r="BX27" i="2"/>
  <c r="BX26" i="2"/>
  <c r="BX18" i="2"/>
  <c r="BX17" i="2"/>
  <c r="BX14" i="2"/>
  <c r="BX13" i="2"/>
  <c r="BX12" i="2"/>
  <c r="BX9" i="2"/>
  <c r="BX8" i="2"/>
  <c r="AS70" i="7" l="1"/>
  <c r="AS57" i="7"/>
  <c r="AS56" i="7"/>
  <c r="AS55" i="7"/>
  <c r="AS54" i="7"/>
  <c r="AS53" i="7"/>
  <c r="AS52" i="7"/>
  <c r="AS51" i="7"/>
  <c r="AS49" i="7"/>
  <c r="AS48" i="7"/>
  <c r="AS47" i="7"/>
  <c r="AS58" i="7" s="1"/>
  <c r="AS41" i="7"/>
  <c r="AS44" i="7" s="1"/>
  <c r="AS40" i="7"/>
  <c r="AS39" i="7"/>
  <c r="AS38" i="7"/>
  <c r="AS36" i="7"/>
  <c r="AS35" i="7"/>
  <c r="AS34" i="7"/>
  <c r="AS33" i="7"/>
  <c r="AS74" i="7" l="1"/>
  <c r="AS73" i="7"/>
  <c r="AS72" i="7"/>
  <c r="AS75" i="7" s="1"/>
  <c r="AQ74" i="7"/>
  <c r="AQ73" i="7"/>
  <c r="AQ72" i="7"/>
  <c r="AQ75" i="7" s="1"/>
  <c r="AS69" i="7"/>
  <c r="AS68" i="7"/>
  <c r="AS67" i="7"/>
  <c r="AS66" i="7"/>
  <c r="AS65" i="7"/>
  <c r="AS64" i="7"/>
  <c r="AS63" i="7"/>
  <c r="AS62" i="7"/>
  <c r="AS61" i="7"/>
  <c r="AQ69" i="7"/>
  <c r="AQ68" i="7"/>
  <c r="AQ67" i="7"/>
  <c r="AQ66" i="7"/>
  <c r="AQ65" i="7"/>
  <c r="AQ70" i="7" s="1"/>
  <c r="AQ64" i="7"/>
  <c r="AQ63" i="7"/>
  <c r="AQ62" i="7"/>
  <c r="AQ6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4" i="7"/>
  <c r="AQ13" i="7"/>
  <c r="AQ12" i="7"/>
  <c r="AQ11" i="7"/>
  <c r="AQ10" i="7"/>
  <c r="AQ43" i="7"/>
  <c r="AQ42" i="7"/>
  <c r="AQ40" i="7"/>
  <c r="AQ39" i="7"/>
  <c r="AQ38" i="7"/>
  <c r="AQ37" i="7"/>
  <c r="AQ36" i="7"/>
  <c r="AQ35" i="7"/>
  <c r="AQ34" i="7"/>
  <c r="AQ33" i="7"/>
  <c r="AQ32" i="7"/>
  <c r="AS43" i="7"/>
  <c r="AS4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7" i="7"/>
  <c r="AD66" i="6"/>
  <c r="AC66" i="6"/>
  <c r="AD65" i="6"/>
  <c r="AD67" i="6" s="1"/>
  <c r="AC65" i="6"/>
  <c r="AC67" i="6" s="1"/>
  <c r="AD64" i="6"/>
  <c r="AC64" i="6"/>
  <c r="AD63" i="6"/>
  <c r="AC63" i="6"/>
  <c r="AD62" i="6"/>
  <c r="AC62" i="6"/>
  <c r="AD61" i="6"/>
  <c r="AC61" i="6"/>
  <c r="AD57" i="6"/>
  <c r="AC57" i="6"/>
  <c r="AD56" i="6"/>
  <c r="AC56" i="6"/>
  <c r="AD55" i="6"/>
  <c r="AC55" i="6"/>
  <c r="AD53" i="6"/>
  <c r="AC53" i="6"/>
  <c r="AD52" i="6"/>
  <c r="AD58" i="6" s="1"/>
  <c r="AC52" i="6"/>
  <c r="AC58" i="6" s="1"/>
  <c r="AD51" i="6"/>
  <c r="AC51" i="6"/>
  <c r="AD47" i="6"/>
  <c r="AC47" i="6"/>
  <c r="AD46" i="6"/>
  <c r="AD48" i="6" s="1"/>
  <c r="AD68" i="6" s="1"/>
  <c r="AC46" i="6"/>
  <c r="AC48" i="6" s="1"/>
  <c r="AC68" i="6" s="1"/>
  <c r="AD45" i="6"/>
  <c r="AC45" i="6"/>
  <c r="AD44" i="6"/>
  <c r="AC44" i="6"/>
  <c r="AD43" i="6"/>
  <c r="AD42" i="6"/>
  <c r="AD41" i="6"/>
  <c r="AD40" i="6"/>
  <c r="AC40" i="6"/>
  <c r="AD36" i="6"/>
  <c r="AC36" i="6"/>
  <c r="AC34" i="6"/>
  <c r="AD34" i="6"/>
  <c r="AD32" i="6"/>
  <c r="AC32" i="6"/>
  <c r="AD31" i="6"/>
  <c r="AC31" i="6"/>
  <c r="AD30" i="6"/>
  <c r="AC30" i="6"/>
  <c r="AD29" i="6"/>
  <c r="AC29" i="6"/>
  <c r="AD28" i="6"/>
  <c r="AD23" i="6" s="1"/>
  <c r="AC28" i="6"/>
  <c r="AD27" i="6"/>
  <c r="AC27" i="6"/>
  <c r="AD26" i="6"/>
  <c r="AC26" i="6"/>
  <c r="AD25" i="6"/>
  <c r="AC25" i="6"/>
  <c r="AD24" i="6"/>
  <c r="AC24" i="6"/>
  <c r="AC23" i="6"/>
  <c r="AD22" i="6"/>
  <c r="AD18" i="6" s="1"/>
  <c r="AC22" i="6"/>
  <c r="AC18" i="6" s="1"/>
  <c r="AD21" i="6"/>
  <c r="AC21" i="6"/>
  <c r="AD20" i="6"/>
  <c r="AC20" i="6"/>
  <c r="AD19" i="6"/>
  <c r="AC19" i="6"/>
  <c r="AD15" i="6"/>
  <c r="AD14" i="6"/>
  <c r="AC14" i="6"/>
  <c r="AD13" i="6"/>
  <c r="AC13" i="6"/>
  <c r="AD12" i="6"/>
  <c r="AC12" i="6"/>
  <c r="AD11" i="6"/>
  <c r="AC11" i="6"/>
  <c r="AD10" i="6"/>
  <c r="AC10" i="6"/>
  <c r="AD9" i="6"/>
  <c r="AC9" i="6"/>
  <c r="AD8" i="6"/>
  <c r="AC8" i="6"/>
  <c r="AC15" i="6" s="1"/>
  <c r="AS42" i="5"/>
  <c r="AS44" i="5" s="1"/>
  <c r="AS39" i="5"/>
  <c r="AS38" i="5"/>
  <c r="AS37" i="5" s="1"/>
  <c r="AS34" i="5"/>
  <c r="AS32" i="5"/>
  <c r="AS30" i="5"/>
  <c r="AS28" i="5"/>
  <c r="AS27" i="5"/>
  <c r="AS29" i="5" s="1"/>
  <c r="AS31" i="5" s="1"/>
  <c r="AS33" i="5" s="1"/>
  <c r="AS26" i="5"/>
  <c r="AS24" i="5"/>
  <c r="AS17" i="5"/>
  <c r="AS23" i="5"/>
  <c r="AS22" i="5"/>
  <c r="AS21" i="5"/>
  <c r="AS20" i="5"/>
  <c r="AS19" i="5"/>
  <c r="AS13" i="5"/>
  <c r="AS9" i="5"/>
  <c r="AS57" i="5"/>
  <c r="AS55" i="5"/>
  <c r="AS53" i="5"/>
  <c r="AS52" i="5"/>
  <c r="AS54" i="5" s="1"/>
  <c r="AS56" i="5" s="1"/>
  <c r="AS58" i="5" s="1"/>
  <c r="AS51" i="5"/>
  <c r="BW51" i="2" l="1"/>
  <c r="BV51" i="2"/>
  <c r="BU51" i="2"/>
  <c r="BT51" i="2"/>
  <c r="BW50" i="2"/>
  <c r="BV50" i="2"/>
  <c r="BU50" i="2"/>
  <c r="BT50" i="2"/>
  <c r="BW49" i="2"/>
  <c r="BV49" i="2"/>
  <c r="BU49" i="2"/>
  <c r="BT49" i="2"/>
  <c r="BW48" i="2"/>
  <c r="BV48" i="2"/>
  <c r="BU48" i="2"/>
  <c r="BT48" i="2"/>
  <c r="BW47" i="2"/>
  <c r="BV47" i="2"/>
  <c r="BW46" i="2"/>
  <c r="BV46" i="2"/>
  <c r="BW45" i="2"/>
  <c r="BV45" i="2"/>
  <c r="BW44" i="2"/>
  <c r="BV44" i="2"/>
  <c r="BW41" i="2"/>
  <c r="BV41" i="2"/>
  <c r="BU41" i="2"/>
  <c r="BT41" i="2"/>
  <c r="BW40" i="2"/>
  <c r="BV40" i="2"/>
  <c r="BU40" i="2"/>
  <c r="BT40" i="2"/>
  <c r="BW39" i="2"/>
  <c r="BV39" i="2"/>
  <c r="BU39" i="2"/>
  <c r="BT39" i="2"/>
  <c r="BW38" i="2"/>
  <c r="BV38" i="2"/>
  <c r="BU38" i="2"/>
  <c r="BT38" i="2"/>
  <c r="BW37" i="2"/>
  <c r="BV37" i="2"/>
  <c r="BU37" i="2"/>
  <c r="BT37" i="2"/>
  <c r="BW36" i="2"/>
  <c r="BU36" i="2"/>
  <c r="BT36" i="2"/>
  <c r="BW35" i="2"/>
  <c r="BU35" i="2"/>
  <c r="BT35" i="2"/>
  <c r="BS35" i="2"/>
  <c r="BW34" i="2"/>
  <c r="BV34" i="2"/>
  <c r="BU34" i="2"/>
  <c r="BT34" i="2"/>
  <c r="BW33" i="2"/>
  <c r="BV33" i="2"/>
  <c r="BW32" i="2"/>
  <c r="BV32" i="2"/>
  <c r="BW31" i="2"/>
  <c r="BV31" i="2"/>
  <c r="BW30" i="2"/>
  <c r="BV30" i="2"/>
  <c r="BW29" i="2"/>
  <c r="BV29" i="2"/>
  <c r="BU29" i="2"/>
  <c r="BT29" i="2"/>
  <c r="BW28" i="2"/>
  <c r="BV28" i="2"/>
  <c r="BU28" i="2"/>
  <c r="BT28" i="2"/>
  <c r="BW27" i="2"/>
  <c r="BV27" i="2"/>
  <c r="BW26" i="2"/>
  <c r="BV26" i="2"/>
  <c r="BU26" i="2"/>
  <c r="BT26" i="2"/>
  <c r="BU9" i="2"/>
  <c r="BT9" i="2"/>
  <c r="BW18" i="2" l="1"/>
  <c r="BU18" i="2" l="1"/>
  <c r="BT18" i="2"/>
  <c r="BS18" i="2"/>
  <c r="BW14" i="2"/>
  <c r="BU14" i="2"/>
  <c r="BT14" i="2"/>
  <c r="BW13" i="2"/>
  <c r="BV13" i="2"/>
  <c r="BU13" i="2"/>
  <c r="BT13" i="2"/>
  <c r="BW12" i="2"/>
  <c r="BV12" i="2"/>
  <c r="BU12" i="2"/>
  <c r="BT12" i="2"/>
  <c r="BW9" i="2"/>
  <c r="BV9" i="2"/>
  <c r="BW8" i="2"/>
  <c r="BV8" i="2"/>
  <c r="BU8" i="2"/>
  <c r="BT8" i="2"/>
  <c r="BS8" i="2"/>
  <c r="BR8" i="2"/>
  <c r="BW7" i="2"/>
  <c r="BV7" i="2"/>
  <c r="BU7" i="2"/>
  <c r="BT7" i="2"/>
  <c r="P48" i="1"/>
  <c r="P47" i="1"/>
  <c r="P46" i="1"/>
  <c r="D21" i="1" l="1"/>
  <c r="C21" i="1"/>
  <c r="AR7" i="7" l="1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R75" i="7"/>
  <c r="AR74" i="7"/>
  <c r="AR73" i="7"/>
  <c r="AR68" i="7"/>
  <c r="AR64" i="7"/>
  <c r="AR63" i="7"/>
  <c r="AR62" i="7"/>
  <c r="AR61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3" i="7"/>
  <c r="AR42" i="7"/>
  <c r="AR40" i="7"/>
  <c r="AR39" i="7"/>
  <c r="AR38" i="7"/>
  <c r="AR37" i="7"/>
  <c r="AR36" i="7"/>
  <c r="AR35" i="7"/>
  <c r="AR34" i="7"/>
  <c r="AR33" i="7"/>
  <c r="AR32" i="7"/>
  <c r="AR30" i="7"/>
  <c r="AR29" i="7"/>
  <c r="AR28" i="7"/>
  <c r="AR27" i="7"/>
  <c r="AR26" i="7"/>
  <c r="AR25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O75" i="7"/>
  <c r="O74" i="7"/>
  <c r="O73" i="7"/>
  <c r="O68" i="7"/>
  <c r="O64" i="7"/>
  <c r="O63" i="7"/>
  <c r="O62" i="7"/>
  <c r="O61" i="7"/>
  <c r="O57" i="7"/>
  <c r="O56" i="7"/>
  <c r="O55" i="7"/>
  <c r="O54" i="7"/>
  <c r="O53" i="7"/>
  <c r="O52" i="7"/>
  <c r="O51" i="7"/>
  <c r="O50" i="7"/>
  <c r="O49" i="7"/>
  <c r="O48" i="7"/>
  <c r="O47" i="7"/>
  <c r="O58" i="7" s="1"/>
  <c r="O43" i="7"/>
  <c r="O42" i="7"/>
  <c r="O40" i="7"/>
  <c r="O39" i="7"/>
  <c r="O38" i="7"/>
  <c r="O37" i="7"/>
  <c r="O36" i="7"/>
  <c r="O35" i="7"/>
  <c r="O34" i="7"/>
  <c r="O33" i="7"/>
  <c r="O32" i="7"/>
  <c r="O31" i="7"/>
  <c r="O41" i="7" s="1"/>
  <c r="O44" i="7" s="1"/>
  <c r="O30" i="7"/>
  <c r="O29" i="7"/>
  <c r="O28" i="7"/>
  <c r="O27" i="7"/>
  <c r="O26" i="7"/>
  <c r="O25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7" i="7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A29" i="6"/>
  <c r="AR58" i="5"/>
  <c r="AR57" i="5"/>
  <c r="AR56" i="5"/>
  <c r="AR55" i="5"/>
  <c r="AR54" i="5"/>
  <c r="AR53" i="5"/>
  <c r="AR52" i="5"/>
  <c r="AR51" i="5"/>
  <c r="AR44" i="5"/>
  <c r="AR43" i="5"/>
  <c r="AR42" i="5"/>
  <c r="AR39" i="5"/>
  <c r="AR38" i="5"/>
  <c r="AR37" i="5"/>
  <c r="AR34" i="5"/>
  <c r="AR33" i="5"/>
  <c r="AR32" i="5"/>
  <c r="AR31" i="5"/>
  <c r="AR30" i="5"/>
  <c r="AR29" i="5"/>
  <c r="AR28" i="5"/>
  <c r="AR27" i="5"/>
  <c r="AR26" i="5"/>
  <c r="AR24" i="5"/>
  <c r="AR23" i="5"/>
  <c r="AR22" i="5"/>
  <c r="AR21" i="5"/>
  <c r="AR20" i="5"/>
  <c r="AR19" i="5"/>
  <c r="AR17" i="5"/>
  <c r="AR13" i="5"/>
  <c r="AR12" i="5"/>
  <c r="AR11" i="5"/>
  <c r="AR10" i="5"/>
  <c r="AR9" i="5"/>
  <c r="O57" i="5"/>
  <c r="O55" i="5"/>
  <c r="N29" i="5"/>
  <c r="N23" i="5"/>
  <c r="N22" i="5"/>
  <c r="N24" i="5" s="1"/>
  <c r="N16" i="5"/>
  <c r="N15" i="5"/>
  <c r="N14" i="5"/>
  <c r="N13" i="5"/>
  <c r="N12" i="5"/>
  <c r="N11" i="5"/>
  <c r="N10" i="5"/>
  <c r="N9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8" i="5"/>
  <c r="O27" i="5"/>
  <c r="O29" i="5" s="1"/>
  <c r="O26" i="5"/>
  <c r="O24" i="5"/>
  <c r="O23" i="5"/>
  <c r="O22" i="5"/>
  <c r="O21" i="5"/>
  <c r="O20" i="5"/>
  <c r="O53" i="5" s="1"/>
  <c r="O19" i="5"/>
  <c r="O52" i="5" s="1"/>
  <c r="O17" i="5"/>
  <c r="O51" i="5" s="1"/>
  <c r="O54" i="5" s="1"/>
  <c r="O56" i="5" s="1"/>
  <c r="O58" i="5" s="1"/>
  <c r="O13" i="5"/>
  <c r="O9" i="5"/>
  <c r="P29" i="1"/>
  <c r="P28" i="1"/>
  <c r="P27" i="1"/>
  <c r="P26" i="1"/>
  <c r="P25" i="1"/>
  <c r="P24" i="1"/>
  <c r="P21" i="1"/>
  <c r="P20" i="1"/>
  <c r="P19" i="1"/>
  <c r="P18" i="1"/>
  <c r="P17" i="1"/>
  <c r="P16" i="1"/>
  <c r="P15" i="1"/>
  <c r="P12" i="1"/>
  <c r="P11" i="1"/>
  <c r="P10" i="1"/>
  <c r="P9" i="1"/>
  <c r="P8" i="1"/>
  <c r="P7" i="1"/>
  <c r="P43" i="1" l="1"/>
  <c r="P51" i="2" l="1"/>
  <c r="P40" i="2"/>
  <c r="P39" i="2"/>
  <c r="P38" i="2"/>
  <c r="P29" i="2"/>
  <c r="P13" i="2"/>
  <c r="P12" i="2"/>
  <c r="P7" i="2"/>
  <c r="P50" i="2"/>
  <c r="P49" i="2"/>
  <c r="P48" i="2"/>
  <c r="P47" i="2"/>
  <c r="P46" i="2"/>
  <c r="P45" i="2"/>
  <c r="P44" i="2"/>
  <c r="P41" i="2"/>
  <c r="P33" i="2"/>
  <c r="P32" i="2"/>
  <c r="P31" i="2"/>
  <c r="P30" i="2"/>
  <c r="P28" i="2"/>
  <c r="P36" i="2" s="1"/>
  <c r="P27" i="2"/>
  <c r="P26" i="2"/>
  <c r="P24" i="2"/>
  <c r="P18" i="2"/>
  <c r="P17" i="2"/>
  <c r="P9" i="2"/>
  <c r="P34" i="2" l="1"/>
  <c r="P35" i="2"/>
  <c r="P14" i="2"/>
  <c r="P42" i="1" l="1"/>
  <c r="P39" i="1"/>
  <c r="P38" i="1"/>
  <c r="P37" i="1"/>
  <c r="P34" i="1"/>
  <c r="P33" i="1"/>
  <c r="P32" i="1"/>
  <c r="AQ58" i="7" l="1"/>
  <c r="AQ57" i="7"/>
  <c r="AQ56" i="7"/>
  <c r="AQ55" i="7"/>
  <c r="AQ54" i="7"/>
  <c r="AQ53" i="7"/>
  <c r="AQ52" i="7"/>
  <c r="AQ51" i="7"/>
  <c r="AQ50" i="7"/>
  <c r="AQ49" i="7"/>
  <c r="AQ48" i="7"/>
  <c r="AQ47" i="7"/>
  <c r="AQ31" i="7"/>
  <c r="AQ41" i="7" s="1"/>
  <c r="AQ44" i="7" s="1"/>
  <c r="AQ7" i="7"/>
  <c r="AO70" i="7"/>
  <c r="AO52" i="7"/>
  <c r="AO51" i="7"/>
  <c r="AO58" i="7" s="1"/>
  <c r="AO32" i="7"/>
  <c r="AO13" i="7"/>
  <c r="AO10" i="7"/>
  <c r="AO31" i="7" s="1"/>
  <c r="AO41" i="7" s="1"/>
  <c r="AO44" i="7" s="1"/>
  <c r="AB68" i="6"/>
  <c r="AB67" i="6"/>
  <c r="AB66" i="6"/>
  <c r="AB65" i="6"/>
  <c r="AB64" i="6"/>
  <c r="AB63" i="6"/>
  <c r="AB62" i="6"/>
  <c r="AB58" i="6"/>
  <c r="AB57" i="6"/>
  <c r="AB55" i="6"/>
  <c r="AB53" i="6"/>
  <c r="AB52" i="6"/>
  <c r="AB51" i="6"/>
  <c r="AB48" i="6"/>
  <c r="AB47" i="6"/>
  <c r="AB46" i="6"/>
  <c r="AB45" i="6"/>
  <c r="AB44" i="6"/>
  <c r="AB42" i="6"/>
  <c r="AB41" i="6"/>
  <c r="AB40" i="6"/>
  <c r="AB36" i="6"/>
  <c r="AB34" i="6"/>
  <c r="AB32" i="6"/>
  <c r="AB31" i="6"/>
  <c r="AB30" i="6"/>
  <c r="AB28" i="6"/>
  <c r="AB27" i="6"/>
  <c r="AB26" i="6"/>
  <c r="AB25" i="6"/>
  <c r="AB24" i="6"/>
  <c r="AB23" i="6" s="1"/>
  <c r="AB22" i="6"/>
  <c r="AB21" i="6"/>
  <c r="AB20" i="6"/>
  <c r="AB19" i="6"/>
  <c r="AB18" i="6"/>
  <c r="AB14" i="6"/>
  <c r="AB13" i="6"/>
  <c r="AB12" i="6"/>
  <c r="AB11" i="6"/>
  <c r="AB10" i="6"/>
  <c r="AB9" i="6"/>
  <c r="AB8" i="6"/>
  <c r="AB15" i="6" s="1"/>
  <c r="AQ9" i="5"/>
  <c r="AQ17" i="5" s="1"/>
  <c r="AQ57" i="5"/>
  <c r="AQ55" i="5"/>
  <c r="AQ50" i="5"/>
  <c r="AQ38" i="5"/>
  <c r="AQ32" i="5"/>
  <c r="AQ30" i="5"/>
  <c r="AQ28" i="5"/>
  <c r="AQ29" i="5" s="1"/>
  <c r="AQ27" i="5"/>
  <c r="AQ26" i="5"/>
  <c r="AQ23" i="5"/>
  <c r="AQ22" i="5"/>
  <c r="AQ21" i="5"/>
  <c r="AQ20" i="5"/>
  <c r="AQ53" i="5" s="1"/>
  <c r="AQ19" i="5"/>
  <c r="AQ52" i="5" s="1"/>
  <c r="AQ13" i="5"/>
  <c r="AO55" i="5"/>
  <c r="AO53" i="5"/>
  <c r="AO52" i="5"/>
  <c r="AO50" i="5"/>
  <c r="AO29" i="5"/>
  <c r="AO23" i="5"/>
  <c r="AO9" i="5"/>
  <c r="AO17" i="5" s="1"/>
  <c r="AR31" i="7" l="1"/>
  <c r="AO72" i="7"/>
  <c r="AQ51" i="5"/>
  <c r="AQ54" i="5" s="1"/>
  <c r="AQ56" i="5" s="1"/>
  <c r="AQ58" i="5" s="1"/>
  <c r="AQ24" i="5"/>
  <c r="AQ31" i="5"/>
  <c r="AQ33" i="5" s="1"/>
  <c r="AQ34" i="5" s="1"/>
  <c r="AQ37" i="5" s="1"/>
  <c r="AO51" i="5"/>
  <c r="AO54" i="5" s="1"/>
  <c r="AO56" i="5" s="1"/>
  <c r="AO58" i="5" s="1"/>
  <c r="AO24" i="5"/>
  <c r="AO31" i="5"/>
  <c r="AO33" i="5" s="1"/>
  <c r="AO34" i="5" s="1"/>
  <c r="AO37" i="5" s="1"/>
  <c r="AP9" i="5"/>
  <c r="O37" i="2"/>
  <c r="O51" i="2"/>
  <c r="O50" i="2"/>
  <c r="O49" i="2"/>
  <c r="O47" i="2"/>
  <c r="O46" i="2"/>
  <c r="O36" i="2" s="1"/>
  <c r="O45" i="2"/>
  <c r="O35" i="2" s="1"/>
  <c r="O41" i="2"/>
  <c r="O40" i="2"/>
  <c r="O39" i="2"/>
  <c r="O33" i="2"/>
  <c r="O32" i="2"/>
  <c r="O31" i="2"/>
  <c r="O29" i="2"/>
  <c r="O28" i="2"/>
  <c r="O27" i="2"/>
  <c r="AR41" i="7" l="1"/>
  <c r="AQ42" i="5"/>
  <c r="AQ44" i="5" s="1"/>
  <c r="AQ39" i="5"/>
  <c r="AO42" i="5"/>
  <c r="AO44" i="5" s="1"/>
  <c r="AO39" i="5"/>
  <c r="O18" i="2"/>
  <c r="O17" i="2"/>
  <c r="O13" i="2"/>
  <c r="O12" i="2"/>
  <c r="O14" i="2" s="1"/>
  <c r="O8" i="2"/>
  <c r="O7" i="2"/>
  <c r="O24" i="2"/>
  <c r="R75" i="7"/>
  <c r="T75" i="7"/>
  <c r="V75" i="7"/>
  <c r="V73" i="7"/>
  <c r="T73" i="7"/>
  <c r="R73" i="7"/>
  <c r="AN73" i="7"/>
  <c r="AL73" i="7"/>
  <c r="AJ73" i="7"/>
  <c r="AH73" i="7"/>
  <c r="AF73" i="7"/>
  <c r="AD73" i="7"/>
  <c r="AB73" i="7"/>
  <c r="Z73" i="7"/>
  <c r="X73" i="7"/>
  <c r="X75" i="7"/>
  <c r="Z75" i="7"/>
  <c r="AB75" i="7"/>
  <c r="AD75" i="7"/>
  <c r="AF75" i="7"/>
  <c r="AH75" i="7"/>
  <c r="AL75" i="7"/>
  <c r="AJ75" i="7"/>
  <c r="AR44" i="7" l="1"/>
  <c r="C73" i="7"/>
  <c r="D73" i="7"/>
  <c r="E73" i="7"/>
  <c r="F73" i="7"/>
  <c r="G73" i="7"/>
  <c r="H73" i="7"/>
  <c r="I73" i="7"/>
  <c r="J73" i="7"/>
  <c r="K73" i="7"/>
  <c r="L73" i="7"/>
  <c r="M73" i="7"/>
  <c r="N73" i="7"/>
  <c r="L72" i="7"/>
  <c r="AN75" i="7"/>
  <c r="AP74" i="7"/>
  <c r="AP73" i="7"/>
  <c r="AP75" i="7"/>
  <c r="AP10" i="7"/>
  <c r="AP11" i="7"/>
  <c r="AP12" i="7"/>
  <c r="AP13" i="7"/>
  <c r="AP16" i="7"/>
  <c r="AP17" i="7"/>
  <c r="AP18" i="7"/>
  <c r="AP20" i="7"/>
  <c r="AP22" i="7"/>
  <c r="AP25" i="7"/>
  <c r="AP27" i="7"/>
  <c r="AP28" i="7"/>
  <c r="AP29" i="7"/>
  <c r="AP30" i="7"/>
  <c r="AP31" i="7"/>
  <c r="AP32" i="7"/>
  <c r="AP33" i="7"/>
  <c r="AP34" i="7"/>
  <c r="AP37" i="7"/>
  <c r="AP38" i="7"/>
  <c r="AP39" i="7"/>
  <c r="AP42" i="7"/>
  <c r="AP43" i="7"/>
  <c r="AP47" i="7"/>
  <c r="AP48" i="7"/>
  <c r="AP49" i="7"/>
  <c r="AP50" i="7"/>
  <c r="AP51" i="7"/>
  <c r="AP52" i="7"/>
  <c r="AP53" i="7"/>
  <c r="AP54" i="7"/>
  <c r="AP55" i="7"/>
  <c r="AP56" i="7"/>
  <c r="AP63" i="7"/>
  <c r="AP64" i="7"/>
  <c r="AP68" i="7"/>
  <c r="AP7" i="7"/>
  <c r="AN70" i="7"/>
  <c r="AM70" i="7"/>
  <c r="N69" i="7"/>
  <c r="AP69" i="7" s="1"/>
  <c r="O69" i="7" s="1"/>
  <c r="AR69" i="7" s="1"/>
  <c r="N67" i="7"/>
  <c r="AP67" i="7" s="1"/>
  <c r="O67" i="7" s="1"/>
  <c r="AR67" i="7" s="1"/>
  <c r="N66" i="7"/>
  <c r="AP66" i="7" s="1"/>
  <c r="O66" i="7" s="1"/>
  <c r="AR66" i="7" s="1"/>
  <c r="N65" i="7"/>
  <c r="AP65" i="7" s="1"/>
  <c r="O65" i="7" s="1"/>
  <c r="AR65" i="7" s="1"/>
  <c r="N62" i="7"/>
  <c r="AP62" i="7" s="1"/>
  <c r="N61" i="7"/>
  <c r="N57" i="7"/>
  <c r="AP57" i="7" s="1"/>
  <c r="N40" i="7"/>
  <c r="N41" i="7" s="1"/>
  <c r="N26" i="7"/>
  <c r="AP26" i="7" s="1"/>
  <c r="N21" i="7"/>
  <c r="AP21" i="7" s="1"/>
  <c r="N19" i="7"/>
  <c r="AP19" i="7" s="1"/>
  <c r="N14" i="7"/>
  <c r="AP14" i="7" s="1"/>
  <c r="Z63" i="6"/>
  <c r="AA63" i="6"/>
  <c r="Y62" i="6"/>
  <c r="AA62" i="6"/>
  <c r="AA64" i="6"/>
  <c r="Z62" i="6"/>
  <c r="N70" i="7" l="1"/>
  <c r="AP70" i="7" s="1"/>
  <c r="O70" i="7"/>
  <c r="N44" i="7"/>
  <c r="AP44" i="7" s="1"/>
  <c r="AP41" i="7"/>
  <c r="AP40" i="7"/>
  <c r="AP61" i="7"/>
  <c r="N58" i="7"/>
  <c r="AP58" i="7" s="1"/>
  <c r="AA28" i="6"/>
  <c r="AA27" i="6"/>
  <c r="AA18" i="6"/>
  <c r="AA22" i="6"/>
  <c r="Y27" i="6"/>
  <c r="Y28" i="6"/>
  <c r="Y22" i="6"/>
  <c r="AA40" i="6"/>
  <c r="AA23" i="6"/>
  <c r="AA15" i="6"/>
  <c r="AP55" i="5"/>
  <c r="AP57" i="5"/>
  <c r="AP13" i="5"/>
  <c r="AP17" i="5"/>
  <c r="AP18" i="5"/>
  <c r="AP19" i="5"/>
  <c r="AP20" i="5"/>
  <c r="AP21" i="5"/>
  <c r="AP23" i="5"/>
  <c r="AP25" i="5"/>
  <c r="AP26" i="5"/>
  <c r="AP27" i="5"/>
  <c r="AP28" i="5"/>
  <c r="AP29" i="5"/>
  <c r="AP30" i="5"/>
  <c r="AP31" i="5"/>
  <c r="AP32" i="5"/>
  <c r="AP33" i="5"/>
  <c r="AP34" i="5"/>
  <c r="AP37" i="5"/>
  <c r="AP38" i="5"/>
  <c r="AP39" i="5"/>
  <c r="AP42" i="5"/>
  <c r="AP43" i="5"/>
  <c r="AP44" i="5"/>
  <c r="AP50" i="5"/>
  <c r="N53" i="5"/>
  <c r="N52" i="5"/>
  <c r="N51" i="5"/>
  <c r="AP24" i="5"/>
  <c r="AP16" i="5"/>
  <c r="AP15" i="5"/>
  <c r="AP14" i="5"/>
  <c r="AP12" i="5"/>
  <c r="AP11" i="5"/>
  <c r="AP10" i="5"/>
  <c r="O27" i="1"/>
  <c r="N27" i="1"/>
  <c r="O25" i="1"/>
  <c r="N25" i="1"/>
  <c r="O16" i="1"/>
  <c r="O72" i="7" l="1"/>
  <c r="AR72" i="7" s="1"/>
  <c r="AR70" i="7"/>
  <c r="AP72" i="7"/>
  <c r="AP52" i="5"/>
  <c r="AP53" i="5"/>
  <c r="N54" i="5"/>
  <c r="AP51" i="5"/>
  <c r="N72" i="7"/>
  <c r="AP22" i="5"/>
  <c r="BQ48" i="2"/>
  <c r="BQ44" i="2"/>
  <c r="BQ38" i="2"/>
  <c r="BQ34" i="2"/>
  <c r="BQ30" i="2"/>
  <c r="BQ26" i="2"/>
  <c r="N56" i="5" l="1"/>
  <c r="AP54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O48" i="2"/>
  <c r="BP48" i="2"/>
  <c r="BN48" i="2"/>
  <c r="BO44" i="2"/>
  <c r="BP44" i="2"/>
  <c r="BN44" i="2"/>
  <c r="O44" i="2" s="1"/>
  <c r="BO38" i="2"/>
  <c r="BP38" i="2"/>
  <c r="BN38" i="2"/>
  <c r="O38" i="2" s="1"/>
  <c r="BO34" i="2"/>
  <c r="BP34" i="2"/>
  <c r="BN34" i="2"/>
  <c r="BO30" i="2"/>
  <c r="BP30" i="2"/>
  <c r="BN30" i="2"/>
  <c r="BO26" i="2"/>
  <c r="BP26" i="2"/>
  <c r="BN26" i="2"/>
  <c r="O26" i="2" s="1"/>
  <c r="N8" i="2"/>
  <c r="N12" i="2"/>
  <c r="N13" i="2"/>
  <c r="N14" i="2" s="1"/>
  <c r="N17" i="2"/>
  <c r="N18" i="2"/>
  <c r="N7" i="2"/>
  <c r="O34" i="2" l="1"/>
  <c r="O48" i="2"/>
  <c r="O30" i="2"/>
  <c r="N58" i="5"/>
  <c r="AP56" i="5"/>
  <c r="BO24" i="2"/>
  <c r="BP24" i="2"/>
  <c r="BN24" i="2"/>
  <c r="N24" i="2"/>
  <c r="AP58" i="5" l="1"/>
  <c r="Z22" i="6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Y40" i="6"/>
  <c r="Z18" i="6"/>
  <c r="Z23" i="6"/>
  <c r="Z40" i="6" l="1"/>
  <c r="Z15" i="6"/>
  <c r="M10" i="7" l="1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1" i="7"/>
  <c r="M62" i="7"/>
  <c r="M63" i="7"/>
  <c r="M64" i="7"/>
  <c r="M65" i="7"/>
  <c r="M66" i="7"/>
  <c r="M67" i="7"/>
  <c r="M68" i="7"/>
  <c r="M69" i="7"/>
  <c r="M74" i="7"/>
  <c r="M7" i="7"/>
  <c r="M55" i="5"/>
  <c r="M57" i="5"/>
  <c r="M10" i="5"/>
  <c r="M11" i="5"/>
  <c r="M12" i="5"/>
  <c r="M13" i="5"/>
  <c r="M14" i="5"/>
  <c r="M15" i="5"/>
  <c r="M16" i="5"/>
  <c r="M17" i="5"/>
  <c r="M19" i="5"/>
  <c r="M20" i="5"/>
  <c r="M21" i="5"/>
  <c r="M22" i="5"/>
  <c r="M23" i="5"/>
  <c r="M26" i="5"/>
  <c r="M27" i="5"/>
  <c r="M28" i="5"/>
  <c r="M30" i="5"/>
  <c r="M31" i="5"/>
  <c r="M32" i="5"/>
  <c r="M35" i="5"/>
  <c r="M36" i="5"/>
  <c r="M37" i="5"/>
  <c r="M38" i="5"/>
  <c r="M40" i="5"/>
  <c r="M41" i="5"/>
  <c r="M42" i="5"/>
  <c r="M43" i="5"/>
  <c r="M9" i="5"/>
  <c r="X18" i="6"/>
  <c r="AM58" i="7" l="1"/>
  <c r="M58" i="7" s="1"/>
  <c r="AM31" i="7"/>
  <c r="X68" i="6"/>
  <c r="X53" i="6"/>
  <c r="X40" i="6"/>
  <c r="X23" i="6"/>
  <c r="X15" i="6"/>
  <c r="AM53" i="5"/>
  <c r="M53" i="5" s="1"/>
  <c r="AM52" i="5"/>
  <c r="M52" i="5" s="1"/>
  <c r="AM51" i="5"/>
  <c r="AM44" i="5"/>
  <c r="M44" i="5" s="1"/>
  <c r="AM39" i="5"/>
  <c r="M39" i="5" s="1"/>
  <c r="AM33" i="5"/>
  <c r="AM29" i="5"/>
  <c r="M29" i="5" s="1"/>
  <c r="AM24" i="5"/>
  <c r="M24" i="5" s="1"/>
  <c r="M48" i="1"/>
  <c r="M34" i="1"/>
  <c r="AM34" i="5" l="1"/>
  <c r="M34" i="5" s="1"/>
  <c r="M33" i="5"/>
  <c r="AM54" i="5"/>
  <c r="M51" i="5"/>
  <c r="AM41" i="7"/>
  <c r="M31" i="7"/>
  <c r="L74" i="7"/>
  <c r="L70" i="7"/>
  <c r="L69" i="7"/>
  <c r="L68" i="7"/>
  <c r="L67" i="7"/>
  <c r="L66" i="7"/>
  <c r="L65" i="7"/>
  <c r="L64" i="7"/>
  <c r="L63" i="7"/>
  <c r="L62" i="7"/>
  <c r="L61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AM56" i="5" l="1"/>
  <c r="M54" i="5"/>
  <c r="AM44" i="7"/>
  <c r="M41" i="7"/>
  <c r="W40" i="6"/>
  <c r="V23" i="6"/>
  <c r="L57" i="5"/>
  <c r="L58" i="5"/>
  <c r="M10" i="1" s="1"/>
  <c r="AL51" i="5"/>
  <c r="AL52" i="5"/>
  <c r="AL53" i="5"/>
  <c r="AK52" i="5"/>
  <c r="AK53" i="5"/>
  <c r="AK55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4" i="5"/>
  <c r="M12" i="1" s="1"/>
  <c r="L35" i="5"/>
  <c r="L36" i="5"/>
  <c r="L37" i="5"/>
  <c r="L38" i="5"/>
  <c r="L39" i="5"/>
  <c r="L40" i="5"/>
  <c r="L41" i="5"/>
  <c r="L42" i="5"/>
  <c r="L43" i="5"/>
  <c r="L44" i="5"/>
  <c r="L6" i="5"/>
  <c r="K6" i="5"/>
  <c r="AM58" i="5" l="1"/>
  <c r="M58" i="5" s="1"/>
  <c r="M56" i="5"/>
  <c r="AM72" i="7"/>
  <c r="M44" i="7"/>
  <c r="M72" i="7" s="1"/>
  <c r="L53" i="5"/>
  <c r="L52" i="5"/>
  <c r="AL54" i="5"/>
  <c r="AL56" i="5" s="1"/>
  <c r="L55" i="5"/>
  <c r="M12" i="2"/>
  <c r="M37" i="1" s="1"/>
  <c r="M50" i="2"/>
  <c r="M46" i="2" l="1"/>
  <c r="M45" i="2"/>
  <c r="M40" i="2"/>
  <c r="M39" i="2"/>
  <c r="M7" i="2"/>
  <c r="M32" i="1" s="1"/>
  <c r="AK51" i="5" l="1"/>
  <c r="V22" i="6"/>
  <c r="V18" i="6" s="1"/>
  <c r="L51" i="5" l="1"/>
  <c r="AK54" i="5"/>
  <c r="BG44" i="2"/>
  <c r="BF44" i="2"/>
  <c r="BE44" i="2"/>
  <c r="BD44" i="2"/>
  <c r="BC44" i="2"/>
  <c r="BB44" i="2"/>
  <c r="L45" i="2"/>
  <c r="L46" i="2"/>
  <c r="M44" i="2" l="1"/>
  <c r="L54" i="5"/>
  <c r="AK56" i="5"/>
  <c r="L56" i="5" s="1"/>
  <c r="M11" i="1" s="1"/>
  <c r="M32" i="2" l="1"/>
  <c r="M31" i="2"/>
  <c r="BG30" i="2"/>
  <c r="BF30" i="2"/>
  <c r="M30" i="2" l="1"/>
  <c r="K74" i="7" l="1"/>
  <c r="J74" i="7"/>
  <c r="I74" i="7"/>
  <c r="H74" i="7"/>
  <c r="G74" i="7"/>
  <c r="F74" i="7"/>
  <c r="E74" i="7"/>
  <c r="D74" i="7"/>
  <c r="C74" i="7"/>
  <c r="B74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61" i="7"/>
  <c r="J61" i="7"/>
  <c r="I61" i="7"/>
  <c r="H61" i="7"/>
  <c r="G61" i="7"/>
  <c r="F61" i="7"/>
  <c r="E61" i="7"/>
  <c r="D61" i="7"/>
  <c r="C61" i="7"/>
  <c r="B61" i="7"/>
  <c r="K58" i="7"/>
  <c r="J58" i="7"/>
  <c r="I58" i="7"/>
  <c r="H58" i="7"/>
  <c r="G58" i="7"/>
  <c r="F58" i="7"/>
  <c r="E58" i="7"/>
  <c r="D58" i="7"/>
  <c r="C58" i="7"/>
  <c r="B58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K72" i="7" s="1"/>
  <c r="J44" i="7"/>
  <c r="J72" i="7" s="1"/>
  <c r="I44" i="7"/>
  <c r="I72" i="7" s="1"/>
  <c r="H44" i="7"/>
  <c r="H72" i="7" s="1"/>
  <c r="G44" i="7"/>
  <c r="G72" i="7" s="1"/>
  <c r="F44" i="7"/>
  <c r="F72" i="7" s="1"/>
  <c r="E44" i="7"/>
  <c r="E72" i="7" s="1"/>
  <c r="D44" i="7"/>
  <c r="D72" i="7" s="1"/>
  <c r="C44" i="7"/>
  <c r="C72" i="7" s="1"/>
  <c r="B44" i="7"/>
  <c r="B72" i="7" s="1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L12" i="1" s="1"/>
  <c r="J34" i="5"/>
  <c r="K12" i="1" s="1"/>
  <c r="I34" i="5"/>
  <c r="J12" i="1" s="1"/>
  <c r="H34" i="5"/>
  <c r="I12" i="1" s="1"/>
  <c r="G34" i="5"/>
  <c r="H12" i="1" s="1"/>
  <c r="F34" i="5"/>
  <c r="G12" i="1" s="1"/>
  <c r="E34" i="5"/>
  <c r="F12" i="1" s="1"/>
  <c r="D34" i="5"/>
  <c r="E12" i="1" s="1"/>
  <c r="C34" i="5"/>
  <c r="D12" i="1" s="1"/>
  <c r="B34" i="5"/>
  <c r="C12" i="1" s="1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J48" i="2" s="1"/>
  <c r="I48" i="2"/>
  <c r="K46" i="2"/>
  <c r="J46" i="2"/>
  <c r="K45" i="2"/>
  <c r="J45" i="2"/>
  <c r="BA44" i="2"/>
  <c r="AZ44" i="2"/>
  <c r="AY44" i="2"/>
  <c r="AX44" i="2"/>
  <c r="AW44" i="2"/>
  <c r="AV44" i="2"/>
  <c r="AU44" i="2"/>
  <c r="AT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I38" i="2"/>
  <c r="H38" i="2"/>
  <c r="G38" i="2"/>
  <c r="F38" i="2"/>
  <c r="E38" i="2"/>
  <c r="D38" i="2"/>
  <c r="L32" i="2"/>
  <c r="K32" i="2"/>
  <c r="J32" i="2"/>
  <c r="L31" i="2"/>
  <c r="K31" i="2"/>
  <c r="J31" i="2"/>
  <c r="BE30" i="2"/>
  <c r="BD30" i="2"/>
  <c r="BC30" i="2"/>
  <c r="BB30" i="2"/>
  <c r="BA30" i="2"/>
  <c r="AZ30" i="2"/>
  <c r="AY30" i="2"/>
  <c r="AX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G26" i="2"/>
  <c r="BF26" i="2"/>
  <c r="BE26" i="2"/>
  <c r="BD26" i="2"/>
  <c r="BC26" i="2"/>
  <c r="BB26" i="2"/>
  <c r="BA26" i="2"/>
  <c r="AZ26" i="2"/>
  <c r="AY26" i="2"/>
  <c r="AX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M48" i="2" l="1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  <c r="AP35" i="5" l="1"/>
  <c r="N35" i="5"/>
  <c r="AP41" i="5"/>
  <c r="N41" i="5"/>
  <c r="N36" i="5"/>
  <c r="AP36" i="5"/>
  <c r="N40" i="5"/>
  <c r="AP40" i="5"/>
</calcChain>
</file>

<file path=xl/sharedStrings.xml><?xml version="1.0" encoding="utf-8"?>
<sst xmlns="http://schemas.openxmlformats.org/spreadsheetml/2006/main" count="926" uniqueCount="486">
  <si>
    <t>Overview</t>
  </si>
  <si>
    <t>Back to Contents</t>
  </si>
  <si>
    <t>Unit</t>
  </si>
  <si>
    <t>PROFIT AND LOSS</t>
  </si>
  <si>
    <t>Total Revenue</t>
  </si>
  <si>
    <t>mln RUB</t>
  </si>
  <si>
    <t>Pre-ppa Gross Profit</t>
  </si>
  <si>
    <t>Gross Profit</t>
  </si>
  <si>
    <t>Pre-ppa EBITDA</t>
  </si>
  <si>
    <t>EBITDA</t>
  </si>
  <si>
    <t>Net Profit</t>
  </si>
  <si>
    <t>BALANCE SHEET</t>
  </si>
  <si>
    <t>Total Debt</t>
  </si>
  <si>
    <t>Corporate Debt</t>
  </si>
  <si>
    <t>Project Debt</t>
  </si>
  <si>
    <r>
      <t>Cash and Cash equivalents</t>
    </r>
    <r>
      <rPr>
        <vertAlign val="superscript"/>
        <sz val="10"/>
        <color rgb="FF000000"/>
        <rFont val="Arial"/>
        <family val="2"/>
        <charset val="204"/>
      </rPr>
      <t>(1)</t>
    </r>
  </si>
  <si>
    <t xml:space="preserve">Cash on escrow </t>
  </si>
  <si>
    <t>Net Corporate Debt (Cash)</t>
  </si>
  <si>
    <t>Net Corporate Debt/pre-PPA EBITDA</t>
  </si>
  <si>
    <t>x</t>
  </si>
  <si>
    <t>CASH FLOW</t>
  </si>
  <si>
    <t>Operating Cash Flow less interest paid</t>
  </si>
  <si>
    <t xml:space="preserve">OCF adjusted for escrow cash </t>
  </si>
  <si>
    <t>Free Cash Flow</t>
  </si>
  <si>
    <t xml:space="preserve">FCF adjusted for escrow cash </t>
  </si>
  <si>
    <t xml:space="preserve">Cash collections on escrow </t>
  </si>
  <si>
    <t>SALES &amp; CASH COLLECTIONS</t>
  </si>
  <si>
    <t>New sales</t>
  </si>
  <si>
    <t>Cash collections</t>
  </si>
  <si>
    <t>Average price</t>
  </si>
  <si>
    <t>RUB/sqm</t>
  </si>
  <si>
    <t>NUMBER OF CONTRACTS &amp; MORTGAGE SALES</t>
  </si>
  <si>
    <t xml:space="preserve">Number of contracts </t>
  </si>
  <si>
    <t> </t>
  </si>
  <si>
    <t>Number of mortgage contracts</t>
  </si>
  <si>
    <t>Share of mortgages</t>
  </si>
  <si>
    <t>%</t>
  </si>
  <si>
    <t>SALES &amp; DELIVERIES</t>
  </si>
  <si>
    <t>sqm</t>
  </si>
  <si>
    <t>Deliveries</t>
  </si>
  <si>
    <t>PROJECT PORTFOLIO</t>
  </si>
  <si>
    <t>OMV of Assets</t>
  </si>
  <si>
    <t>OMV of Project portfolio</t>
  </si>
  <si>
    <t>Unsold NSA</t>
  </si>
  <si>
    <t>ths sqm</t>
  </si>
  <si>
    <t>(1) Including bank deposits over 3 months</t>
  </si>
  <si>
    <t>Key Operating Results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</si>
  <si>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</si>
  <si>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</si>
  <si>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</si>
  <si>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</si>
  <si>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</si>
  <si>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</si>
  <si>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</si>
  <si>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</si>
  <si>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</si>
  <si>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</si>
  <si>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</si>
  <si>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</si>
  <si>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</si>
  <si>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</si>
  <si>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</si>
  <si>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</si>
  <si>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</si>
  <si>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</si>
  <si>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</si>
  <si>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</si>
  <si>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</si>
  <si>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</si>
  <si>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</si>
  <si>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</si>
  <si>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</si>
  <si>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</si>
  <si>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</si>
  <si>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4Q 2017</t>
  </si>
  <si>
    <t>1Q 2018</t>
  </si>
  <si>
    <t>2Q 2018</t>
  </si>
  <si>
    <t>3Q 2018</t>
  </si>
  <si>
    <t>4Q 2018</t>
  </si>
  <si>
    <t>1Q 2019</t>
  </si>
  <si>
    <t>2Q 2019</t>
  </si>
  <si>
    <t>3Q 2019</t>
  </si>
  <si>
    <t>4Q 2019</t>
  </si>
  <si>
    <t>1Q 2020</t>
  </si>
  <si>
    <t>2Q 2020</t>
  </si>
  <si>
    <t>3Q 2020</t>
  </si>
  <si>
    <t>4Q 2020</t>
  </si>
  <si>
    <t>1Q 2021</t>
  </si>
  <si>
    <t>2Q 2021</t>
  </si>
  <si>
    <t>3Q 2021</t>
  </si>
  <si>
    <t>4Q 2021</t>
  </si>
  <si>
    <t>NEW SALES &amp; DELIVERIES</t>
  </si>
  <si>
    <t>Moscow</t>
  </si>
  <si>
    <t>Saint-Petersburg</t>
  </si>
  <si>
    <t>-</t>
  </si>
  <si>
    <t>Land Bank Valuation</t>
  </si>
  <si>
    <t>Botanica</t>
  </si>
  <si>
    <t>Domino</t>
  </si>
  <si>
    <t>Galactica</t>
  </si>
  <si>
    <t>Moscow Gates</t>
  </si>
  <si>
    <t>Okhta House</t>
  </si>
  <si>
    <t>Samotsvety</t>
  </si>
  <si>
    <t>Emerald Hills</t>
  </si>
  <si>
    <t>Etalon-City</t>
  </si>
  <si>
    <t>Fotievoi 5</t>
  </si>
  <si>
    <t>ZIL-Yug</t>
  </si>
  <si>
    <t>Zorge 3</t>
  </si>
  <si>
    <t>PRODUCTION UNIT</t>
  </si>
  <si>
    <t>Residential</t>
  </si>
  <si>
    <t>Commercial</t>
  </si>
  <si>
    <t>Parking</t>
  </si>
  <si>
    <t>Jubilee Estate</t>
  </si>
  <si>
    <t>Tsar's Capital</t>
  </si>
  <si>
    <t>Silver Fountain</t>
  </si>
  <si>
    <t>Summer Garden</t>
  </si>
  <si>
    <t>Consolidated Statement of Profit or Loss and Other Comprehensive Income (IFRS)</t>
  </si>
  <si>
    <t>1H 2011</t>
  </si>
  <si>
    <t>2H 2011</t>
  </si>
  <si>
    <t>1H 2012</t>
  </si>
  <si>
    <t>2H 2012</t>
  </si>
  <si>
    <t>1H 2013</t>
  </si>
  <si>
    <t>2H 2013</t>
  </si>
  <si>
    <t>1H 2014</t>
  </si>
  <si>
    <t>2H 2014</t>
  </si>
  <si>
    <t>1H 2015</t>
  </si>
  <si>
    <t>2H 2015</t>
  </si>
  <si>
    <t>1H 2016</t>
  </si>
  <si>
    <t>2H 2016</t>
  </si>
  <si>
    <t>1H 2017</t>
  </si>
  <si>
    <t>2H 2017</t>
  </si>
  <si>
    <t>1H 2018</t>
  </si>
  <si>
    <t>2H 2018</t>
  </si>
  <si>
    <t>1H 2019</t>
  </si>
  <si>
    <t>2H 2019</t>
  </si>
  <si>
    <t>1H 2020</t>
  </si>
  <si>
    <t>2H 2020</t>
  </si>
  <si>
    <t>Revenue from sale of real estate accounted for at historical cost</t>
  </si>
  <si>
    <t>Revenue from sale of real estate acquired through business combinations and recognised at fair value at initial recognition</t>
  </si>
  <si>
    <t>Other revenue</t>
  </si>
  <si>
    <t>Revenue</t>
  </si>
  <si>
    <t>Cost of sales of real estate accounted for at historical cost</t>
  </si>
  <si>
    <t>Cost of sales of real estate acquired through business combinations and recognised at fair value at initial recognition</t>
  </si>
  <si>
    <t>Other cost of sales</t>
  </si>
  <si>
    <t>Cost of sales</t>
  </si>
  <si>
    <t>Gross profit from sales of real estate accounted for at historical cost</t>
  </si>
  <si>
    <t>Gross profit from sales of real estate acquired through business combinations and recognised at fair value at initial recognition</t>
  </si>
  <si>
    <t>Gross profit from other sales</t>
  </si>
  <si>
    <t>Gross profit</t>
  </si>
  <si>
    <t>General and administrative expenses</t>
  </si>
  <si>
    <t>Selling expenses</t>
  </si>
  <si>
    <t>Impairment loss on trade and other receivables</t>
  </si>
  <si>
    <t>Gain from bargain purchase</t>
  </si>
  <si>
    <t>Other expenses, net</t>
  </si>
  <si>
    <t>Results from operating activities</t>
  </si>
  <si>
    <t>Finance income – interest revenue</t>
  </si>
  <si>
    <t>Finance income - other</t>
  </si>
  <si>
    <t>Finance costs</t>
  </si>
  <si>
    <t>Net finance costs</t>
  </si>
  <si>
    <t>Share of profit of equity accounted investees (net of income tax)</t>
  </si>
  <si>
    <t>Profit before income tax</t>
  </si>
  <si>
    <t>Income tax expense</t>
  </si>
  <si>
    <t>Profit for the year</t>
  </si>
  <si>
    <t>Total comprehensive income for the year</t>
  </si>
  <si>
    <t>Profit attributable to:</t>
  </si>
  <si>
    <t>Owners of the Company</t>
  </si>
  <si>
    <t>Non-controlling interest</t>
  </si>
  <si>
    <t>Total comprehensive income attributable to:</t>
  </si>
  <si>
    <t>Depreciation</t>
  </si>
  <si>
    <t>PrePPA EBITDA</t>
  </si>
  <si>
    <t>Less: General and administrative expenses</t>
  </si>
  <si>
    <t>Less: Selling expenses</t>
  </si>
  <si>
    <t>Adjusted operating profit</t>
  </si>
  <si>
    <t>Add: Depreciation and amortisation</t>
  </si>
  <si>
    <t>Add: PPA in cost of sales</t>
  </si>
  <si>
    <t>Consolidated Statement of Financial Position (IFRS)</t>
  </si>
  <si>
    <t>ASSETS</t>
  </si>
  <si>
    <t>Non-current assets</t>
  </si>
  <si>
    <t>Property, plant and equipment</t>
  </si>
  <si>
    <t>Investment property</t>
  </si>
  <si>
    <t>Other long-term investments</t>
  </si>
  <si>
    <t>Trade and other receivables</t>
  </si>
  <si>
    <t>Deferred tax assets</t>
  </si>
  <si>
    <t>Other non-current assets</t>
  </si>
  <si>
    <t>Total non-current assets</t>
  </si>
  <si>
    <t>Current assets</t>
  </si>
  <si>
    <t>Inventories:</t>
  </si>
  <si>
    <t>Inventories under construction and development</t>
  </si>
  <si>
    <t>Inventories - finished goods</t>
  </si>
  <si>
    <t>Other inventories</t>
  </si>
  <si>
    <t>Less: Allowance for obsolete inventories*</t>
  </si>
  <si>
    <t>Contract assets, trade and other receivables:</t>
  </si>
  <si>
    <t>Advances paid to suppliers</t>
  </si>
  <si>
    <t>Contract assets</t>
  </si>
  <si>
    <t>Trade receivables</t>
  </si>
  <si>
    <t>Other receivables</t>
  </si>
  <si>
    <t>Costs to obtain contracts</t>
  </si>
  <si>
    <t>Short-term investments</t>
  </si>
  <si>
    <t>Cash and cash equivalents</t>
  </si>
  <si>
    <t>Other current assets</t>
  </si>
  <si>
    <t>Total current assets</t>
  </si>
  <si>
    <t>Assets held for sale</t>
  </si>
  <si>
    <t>TOTAL ASSETS</t>
  </si>
  <si>
    <t>EQUITY AND LIABILITIES</t>
  </si>
  <si>
    <t>Equity</t>
  </si>
  <si>
    <t>Share capital:</t>
  </si>
  <si>
    <t>Share capital</t>
  </si>
  <si>
    <t>Share premium</t>
  </si>
  <si>
    <t>Reserve for own shares</t>
  </si>
  <si>
    <t>Share options reserve</t>
  </si>
  <si>
    <t>Retained earnings</t>
  </si>
  <si>
    <t>Total equity attributable to equity holders of the Company</t>
  </si>
  <si>
    <t>Total equity</t>
  </si>
  <si>
    <t>Non-current liabilities</t>
  </si>
  <si>
    <t>Loans and borrowings</t>
  </si>
  <si>
    <t>Contract liabilities, trade and other рауаblеs</t>
  </si>
  <si>
    <t>Trade and other payables</t>
  </si>
  <si>
    <t>Contract liabilities</t>
  </si>
  <si>
    <t>Provisions</t>
  </si>
  <si>
    <t>Deferred tax liabilities</t>
  </si>
  <si>
    <t>Total non-current liabilities</t>
  </si>
  <si>
    <t>Current liabllities</t>
  </si>
  <si>
    <t>Trade and other рауаblеs</t>
  </si>
  <si>
    <t>Total current liabilities</t>
  </si>
  <si>
    <t>TOTAL EQUITY AND LIABILITIES</t>
  </si>
  <si>
    <t>Consolidated Statement of Cash Flows (IFRS)</t>
  </si>
  <si>
    <t>OPERATING ACTIVITIES</t>
  </si>
  <si>
    <t>Adjustments for:</t>
  </si>
  <si>
    <t>Gain on disposal of property, plant and equipment</t>
  </si>
  <si>
    <t>Gain on disposal of investment property</t>
  </si>
  <si>
    <t>Loss on disposal of inventories under construction and development</t>
  </si>
  <si>
    <t>Impairment loss on investment property</t>
  </si>
  <si>
    <t>Impairment loss on inventories</t>
  </si>
  <si>
    <t>Impairment loss on trade and other receivables, advances paid to suppliers and investments</t>
  </si>
  <si>
    <t>Equity-settled share-based payment transactions</t>
  </si>
  <si>
    <t>Gain on disposal of other investsments</t>
  </si>
  <si>
    <t>Significant financing component from contracts with customers recognised in revenue</t>
  </si>
  <si>
    <t>Savings on escrow-backed loans recognised in revenue</t>
  </si>
  <si>
    <t>Finance costs/(income), net</t>
  </si>
  <si>
    <t>Cash from operating activities before changes in working capital and provisions</t>
  </si>
  <si>
    <t>Change in inventories</t>
  </si>
  <si>
    <t>Change in accounts receivable</t>
  </si>
  <si>
    <t>Change in accounts payable</t>
  </si>
  <si>
    <t>Change in provisions</t>
  </si>
  <si>
    <t>Change in contract assets</t>
  </si>
  <si>
    <t>Change in contract liabilities</t>
  </si>
  <si>
    <t>Change in other current assets</t>
  </si>
  <si>
    <t>Cash generated from operating activities</t>
  </si>
  <si>
    <t>Income tax paid</t>
  </si>
  <si>
    <t>Interest paid</t>
  </si>
  <si>
    <t>Net cash (used in)/from operating activities</t>
  </si>
  <si>
    <t>INVESTING ACTIVITIES</t>
  </si>
  <si>
    <t>Proceeds from disposal of property, plant and equipment</t>
  </si>
  <si>
    <t>Proceeds from disposal of investment property</t>
  </si>
  <si>
    <t>Interest received</t>
  </si>
  <si>
    <t>Acquisition of property, plant and equipment</t>
  </si>
  <si>
    <t>Loans given</t>
  </si>
  <si>
    <t>Loans repaid</t>
  </si>
  <si>
    <t>Disposal of subsidiaries, net of cash disposed of</t>
  </si>
  <si>
    <t>Acquisition of subsidiaries, net of cash acquired</t>
  </si>
  <si>
    <t>Acquisition of other investments</t>
  </si>
  <si>
    <t>Disposal of other investments</t>
  </si>
  <si>
    <t>Net cash from/(used in) investing activities</t>
  </si>
  <si>
    <t>FINANCING ACTIVITIES</t>
  </si>
  <si>
    <t>Proceeds from IPO</t>
  </si>
  <si>
    <t>Proceeds from issue of share capital</t>
  </si>
  <si>
    <t>Proceeds from borrowings</t>
  </si>
  <si>
    <t>Repayments of borrowings</t>
  </si>
  <si>
    <t>Acquisition of non-controlling interest</t>
  </si>
  <si>
    <t>Disposal of non-controlling interest</t>
  </si>
  <si>
    <t>Acquisition of own shares</t>
  </si>
  <si>
    <t>Payments for lease liabilities, excluding interest</t>
  </si>
  <si>
    <t>Dividends paid</t>
  </si>
  <si>
    <t>Net cash (used in)/from financing activities</t>
  </si>
  <si>
    <t>Net (decrease)/increase in cash and cash equivalents</t>
  </si>
  <si>
    <t>Cash and cash equivalents at the beginning of the year</t>
  </si>
  <si>
    <t>Effect of exchange rate fluctuations</t>
  </si>
  <si>
    <t>Cash and cash equivalents at the end of the year</t>
  </si>
  <si>
    <t>Investor Relations</t>
  </si>
  <si>
    <t xml:space="preserve">ir@etalongroup.com </t>
  </si>
  <si>
    <t>CONTENTS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</si>
  <si>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</si>
  <si>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</si>
  <si>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>Operating Results</t>
  </si>
  <si>
    <t xml:space="preserve">Key Operating Results </t>
  </si>
  <si>
    <t>Estimated Sale Prices by Project</t>
  </si>
  <si>
    <t>EBITDA calculation</t>
  </si>
  <si>
    <t>Financial Statements (IFRS)</t>
  </si>
  <si>
    <t>Consolidated Statement of Financial Position</t>
  </si>
  <si>
    <t>Consolidated Statement of Profit or Loss and Other Comprehensive Income</t>
  </si>
  <si>
    <t xml:space="preserve">Consolidated Statement of Cash Flows </t>
  </si>
  <si>
    <t>Key Operating Results by Region</t>
  </si>
  <si>
    <t>1H 2021</t>
  </si>
  <si>
    <t>(Gain)/loss on disposal of subsidiaries</t>
  </si>
  <si>
    <t>2H 2021</t>
  </si>
  <si>
    <t>Share of loss of equity accounted investees</t>
  </si>
  <si>
    <t>Pushkin Village</t>
  </si>
  <si>
    <t>Project on Kievskaya St</t>
  </si>
  <si>
    <t>Omsk</t>
  </si>
  <si>
    <t>Green River</t>
  </si>
  <si>
    <t>Tyumen</t>
  </si>
  <si>
    <t>Project in Tyumen</t>
  </si>
  <si>
    <t>Voxhall</t>
  </si>
  <si>
    <t>1Q 2022</t>
  </si>
  <si>
    <t>2Q 2022</t>
  </si>
  <si>
    <t>Regions</t>
  </si>
  <si>
    <t xml:space="preserve"> 30.06.2022</t>
  </si>
  <si>
    <t>1H 2022</t>
  </si>
  <si>
    <t>Intangible assets</t>
  </si>
  <si>
    <t>Acquisition of investment in associates and joint ventures</t>
  </si>
  <si>
    <t>3Q 2022</t>
  </si>
  <si>
    <t>4Q 2022</t>
  </si>
  <si>
    <t>2H 2022</t>
  </si>
  <si>
    <t>Gain on disposal of associate</t>
  </si>
  <si>
    <t>#</t>
  </si>
  <si>
    <t>Project name</t>
  </si>
  <si>
    <t>Region</t>
  </si>
  <si>
    <t>Market value of the Company's share, mln RUB</t>
  </si>
  <si>
    <t>Land tenure</t>
  </si>
  <si>
    <t>Site area, ha</t>
  </si>
  <si>
    <t>Total net sellable area, sq m</t>
  </si>
  <si>
    <t>Net sellable area (Etalon’s share), including car parking, sq m</t>
  </si>
  <si>
    <t>Unsold net area (Etalon’s share), including car parking, sq m</t>
  </si>
  <si>
    <t>Total construction budget, mln RUB</t>
  </si>
  <si>
    <t>Estimated outstanding construction costs, mln RUB</t>
  </si>
  <si>
    <t>Total income from sales, mln RUB</t>
  </si>
  <si>
    <t>Discount rate</t>
  </si>
  <si>
    <t>Estimated sale prices, RUB/sq m or lot (rounded)</t>
  </si>
  <si>
    <t>Development stage</t>
  </si>
  <si>
    <t>Date of commissioning</t>
  </si>
  <si>
    <t>Additional information</t>
  </si>
  <si>
    <t>Total</t>
  </si>
  <si>
    <t>Social</t>
  </si>
  <si>
    <t>Parking, lots</t>
  </si>
  <si>
    <t>Parking, sq m</t>
  </si>
  <si>
    <t>Total land payments, mln RUB</t>
  </si>
  <si>
    <t>Outstanding land payments (incl. the cost of changing land use (VRI)), mln RUB</t>
  </si>
  <si>
    <t>The cost of changing land use (VRI) and other land expenses, mln RUB</t>
  </si>
  <si>
    <t>Discounted outstanding land payments (incl. the cost of changing land use (VRI)), mln RUB</t>
  </si>
  <si>
    <t>Discounted cost of changing land use (VRI) and other land expenses, mln RUB</t>
  </si>
  <si>
    <t>Leasehold</t>
  </si>
  <si>
    <t>Construction</t>
  </si>
  <si>
    <t>Nagatino i-Land</t>
  </si>
  <si>
    <t>Freehold</t>
  </si>
  <si>
    <t>Moscow region</t>
  </si>
  <si>
    <t>Freehold and investment contract</t>
  </si>
  <si>
    <t>2011 - 2017, 2019, 2022, 2023</t>
  </si>
  <si>
    <t>Preliminary agreement</t>
  </si>
  <si>
    <t>Design stage</t>
  </si>
  <si>
    <t>Desyatka</t>
  </si>
  <si>
    <t>Saint Petersburg</t>
  </si>
  <si>
    <t>2018 - 2021, 2022, 2023</t>
  </si>
  <si>
    <t>Project on Chernigovskaya St</t>
  </si>
  <si>
    <t>Completed</t>
  </si>
  <si>
    <t>2022, 2024</t>
  </si>
  <si>
    <t>Project in the Krasnogvardeiskiy district</t>
  </si>
  <si>
    <t>Freehold, preliminary agreement</t>
  </si>
  <si>
    <t>Novoorlovsky</t>
  </si>
  <si>
    <t>iLona</t>
  </si>
  <si>
    <t>Wellamo</t>
  </si>
  <si>
    <t>Novosibirsk</t>
  </si>
  <si>
    <t>Yekaterinburg</t>
  </si>
  <si>
    <t>Suomen Ranta</t>
  </si>
  <si>
    <t>2023, 2024</t>
  </si>
  <si>
    <t>Rauta</t>
  </si>
  <si>
    <t>Baltym Park</t>
  </si>
  <si>
    <t>Schastye v Kazan</t>
  </si>
  <si>
    <t>Kazan</t>
  </si>
  <si>
    <t>Kvartal Suita</t>
  </si>
  <si>
    <t>2023, 2026</t>
  </si>
  <si>
    <t>Green</t>
  </si>
  <si>
    <t>Completed projects in MMA</t>
  </si>
  <si>
    <t>2016 - 2018</t>
  </si>
  <si>
    <t>2018 - 2019, 2021</t>
  </si>
  <si>
    <t>Andropova 18</t>
  </si>
  <si>
    <t>Finskiy</t>
  </si>
  <si>
    <t>2022 - 2023</t>
  </si>
  <si>
    <t>Completed projects in SPb</t>
  </si>
  <si>
    <t>Petrovskiy Landmark (Petrovskiy Island)</t>
  </si>
  <si>
    <t>Freehold and leasehold</t>
  </si>
  <si>
    <t>2015 - 2017</t>
  </si>
  <si>
    <t>Smolny</t>
  </si>
  <si>
    <t>Total Residential Development Projects</t>
  </si>
  <si>
    <t>Property name</t>
  </si>
  <si>
    <t>Unsold net area, including car parking, sq m (Etalon’s share)</t>
  </si>
  <si>
    <t>Project portfolio</t>
  </si>
  <si>
    <t>Total Project Portfolio</t>
  </si>
  <si>
    <t>Net sellable/leasable area, including car parking, sq.m</t>
  </si>
  <si>
    <t>Estimated market rental income per annum, mln RUB, incl. OPEX, net of VAT</t>
  </si>
  <si>
    <t>Estimated market rental rates, RUB/sq m or lot/year, incl. OPEX, net of VAT</t>
  </si>
  <si>
    <t>Buildings for own use</t>
  </si>
  <si>
    <t>Office building 3, Bogatyrsky Ave</t>
  </si>
  <si>
    <t>Total Buildings for own use</t>
  </si>
  <si>
    <t>Total Production Unit Value</t>
  </si>
  <si>
    <t>Assets portfolio</t>
  </si>
  <si>
    <t>Total Assets</t>
  </si>
  <si>
    <t>1H 2023</t>
  </si>
  <si>
    <t xml:space="preserve"> 30.06.2023</t>
  </si>
  <si>
    <t>Cost of social infrastructure facilities within the implemented projects</t>
  </si>
  <si>
    <t>1Q 2023</t>
  </si>
  <si>
    <t>2Q 2023</t>
  </si>
  <si>
    <t>3Q 2023</t>
  </si>
  <si>
    <t>4Q 2023</t>
  </si>
  <si>
    <t>Repayment of project financing — Funds released from escrow</t>
  </si>
  <si>
    <t>2H 2023</t>
  </si>
  <si>
    <t xml:space="preserve"> 31.12.2023</t>
  </si>
  <si>
    <t>Less: Allowance for doubtful accounts receivable*</t>
  </si>
  <si>
    <t>Income tax payable</t>
  </si>
  <si>
    <t>n/a</t>
  </si>
  <si>
    <t>Wings (Lobachevskogo 120)</t>
  </si>
  <si>
    <t>Project on Professor Popov St (Petrogradskiy district)</t>
  </si>
  <si>
    <t>Monografiya</t>
  </si>
  <si>
    <t>Pulkovskiy dom</t>
  </si>
  <si>
    <t>Schastye v Koltsovo</t>
  </si>
  <si>
    <t>Solnechny (Ekaterinburg)</t>
  </si>
  <si>
    <t>Schastye v Tyumen</t>
  </si>
  <si>
    <t>Schastye na Sokole (Usievicha st., 10B)</t>
  </si>
  <si>
    <t>Etalon on the Neva (Nevskiy district)</t>
  </si>
  <si>
    <t>Finskiy zaliv</t>
  </si>
  <si>
    <t>na</t>
  </si>
  <si>
    <t>Plots for sale</t>
  </si>
  <si>
    <t>Ivovaya</t>
  </si>
  <si>
    <t>Total Plots for sale</t>
  </si>
  <si>
    <t>Production Unit Entities Value</t>
  </si>
  <si>
    <t>1Q 2024</t>
  </si>
  <si>
    <t>2Q 2024</t>
  </si>
  <si>
    <t>1H 2024</t>
  </si>
  <si>
    <t xml:space="preserve"> 30.06.2024</t>
  </si>
  <si>
    <t>3Q 2024</t>
  </si>
  <si>
    <t>4Q 2024</t>
  </si>
  <si>
    <t>2H 2024</t>
  </si>
  <si>
    <t>Future interest savings on concluded project finance agreements using escrow accounts</t>
  </si>
  <si>
    <t>Unearned revenue</t>
  </si>
  <si>
    <t>Loss on intangible asset disposal</t>
  </si>
  <si>
    <t>Income on accounts payable write-off</t>
  </si>
  <si>
    <t>Change in contract costs</t>
  </si>
  <si>
    <t>Change in future interest savings on concluded project finance agreements using escrow accounts</t>
  </si>
  <si>
    <t>1Q 2025</t>
  </si>
  <si>
    <t>Construction costs before 2025, mln RUB</t>
  </si>
  <si>
    <t>Outstanding payments for the areas sold from 2025, mln RUB</t>
  </si>
  <si>
    <t>Income from sales from 2025, mln RUB</t>
  </si>
  <si>
    <t>Funds in escrow accounts as at 31.12.2024, mln RUB</t>
  </si>
  <si>
    <t>Principal debt as at 31.12.2024, mln RUB</t>
  </si>
  <si>
    <t>Land payments before 2025, mln RUB</t>
  </si>
  <si>
    <t>Current projects in MMA</t>
  </si>
  <si>
    <t>2023, 2025 - 2032</t>
  </si>
  <si>
    <t>2022 - 2023, 2027 - 2028</t>
  </si>
  <si>
    <t>MariInn Park (Project on Oktyabrskaya St)</t>
  </si>
  <si>
    <t>SokolInn Park (3-Grazhdanskaya St)</t>
  </si>
  <si>
    <t>Total Current projects MMA</t>
  </si>
  <si>
    <t>Current projects in SPb</t>
  </si>
  <si>
    <t>Klyukva.Park (Shushary)</t>
  </si>
  <si>
    <t>Avenue Apart Pulkovo</t>
  </si>
  <si>
    <t>Pryazhki Emb</t>
  </si>
  <si>
    <t>Murino</t>
  </si>
  <si>
    <t>Leningrad region</t>
  </si>
  <si>
    <t>2028 - 2032</t>
  </si>
  <si>
    <t>Total Current projects St Petersburg</t>
  </si>
  <si>
    <t>Current projects in Omsk</t>
  </si>
  <si>
    <t>2024 - 2036</t>
  </si>
  <si>
    <t>Current projects in Novosibirsk region</t>
  </si>
  <si>
    <t>2026, 2028 - 2031</t>
  </si>
  <si>
    <t>Current projects in Ekaterinburg</t>
  </si>
  <si>
    <t>Ekaterinburg</t>
  </si>
  <si>
    <t>2024 - 2038</t>
  </si>
  <si>
    <t>2024 - 2025</t>
  </si>
  <si>
    <t>2022 - 2025, 2027 - 2028</t>
  </si>
  <si>
    <t>2026, 2028 - 2038</t>
  </si>
  <si>
    <t>Current projects in Tumen</t>
  </si>
  <si>
    <t>2025 - 2029</t>
  </si>
  <si>
    <t>Current projects in Kazan</t>
  </si>
  <si>
    <t>2025, 2028</t>
  </si>
  <si>
    <t xml:space="preserve">Total Current projects in the Regions </t>
  </si>
  <si>
    <t>2019 - 2024</t>
  </si>
  <si>
    <t>2021, 2023, 2024</t>
  </si>
  <si>
    <t>Total Completed projects MMA</t>
  </si>
  <si>
    <t>Domino Premium</t>
  </si>
  <si>
    <t>Total Completed projects SPb</t>
  </si>
  <si>
    <t>Completed projects in the Regions</t>
  </si>
  <si>
    <t>Total Completed projects in the Regions</t>
  </si>
  <si>
    <t>Kumzhagrad</t>
  </si>
  <si>
    <t>Rostov-on-Don</t>
  </si>
  <si>
    <t>2Q 2025</t>
  </si>
  <si>
    <t>1Н 2025</t>
  </si>
  <si>
    <t xml:space="preserve"> 30.06.2025</t>
  </si>
  <si>
    <t>Revaluation of the provision for impairment of advances issued</t>
  </si>
  <si>
    <t>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</si>
</sst>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  <numFmt numFmtId="169" formatCode="_(* #,##0_);_(* \(#,##0\);_(* &quot;-&quot;??_);_(@_)"/>
    <numFmt numFmtId="170" formatCode="#,##0.0"/>
    <numFmt numFmtId="171" formatCode="0.0%"/>
    <numFmt numFmtId="172" formatCode="[$-409]mmm\-yy;@"/>
    <numFmt numFmtId="173" formatCode="0.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7"/>
      <color theme="0"/>
      <name val="Verdana"/>
      <family val="2"/>
      <charset val="204"/>
    </font>
    <font>
      <sz val="7"/>
      <color theme="1"/>
      <name val="Verdana"/>
      <family val="2"/>
      <charset val="204"/>
    </font>
    <font>
      <i/>
      <sz val="7"/>
      <color theme="0"/>
      <name val="Verdana"/>
      <family val="2"/>
      <charset val="204"/>
    </font>
    <font>
      <sz val="7"/>
      <color rgb="FF4A4A4D"/>
      <name val="Verdana"/>
      <family val="2"/>
      <charset val="204"/>
    </font>
    <font>
      <i/>
      <sz val="7"/>
      <color rgb="FF4A4A4D"/>
      <name val="Verdana"/>
      <family val="2"/>
      <charset val="204"/>
    </font>
    <font>
      <b/>
      <sz val="7"/>
      <color rgb="FF4A4A4D"/>
      <name val="Verdana"/>
      <family val="2"/>
      <charset val="204"/>
    </font>
    <font>
      <b/>
      <i/>
      <sz val="7"/>
      <color rgb="FF4A4A4D"/>
      <name val="Verdana"/>
      <family val="2"/>
      <charset val="204"/>
    </font>
    <font>
      <i/>
      <sz val="7"/>
      <color theme="1"/>
      <name val="Verdana"/>
      <family val="2"/>
      <charset val="204"/>
    </font>
    <font>
      <sz val="7"/>
      <color rgb="FF4B4B4B"/>
      <name val="Verdana"/>
      <family val="2"/>
      <charset val="204"/>
    </font>
    <font>
      <sz val="7"/>
      <color rgb="FFFF0000"/>
      <name val="Verdana"/>
      <family val="2"/>
      <charset val="204"/>
    </font>
    <font>
      <b/>
      <sz val="7"/>
      <color rgb="FF4B4B4B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50BF"/>
        <bgColor indexed="64"/>
      </patternFill>
    </fill>
    <fill>
      <patternFill patternType="solid">
        <fgColor rgb="FFD4E2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2" fillId="0" borderId="0" applyFill="0" applyBorder="0" applyProtection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5" fillId="0" borderId="0" xfId="2" applyFont="1"/>
    <xf numFmtId="0" fontId="6" fillId="0" borderId="0" xfId="1" applyFont="1"/>
    <xf numFmtId="0" fontId="7" fillId="0" borderId="1" xfId="2" applyFont="1" applyBorder="1"/>
    <xf numFmtId="0" fontId="8" fillId="0" borderId="1" xfId="2" applyFont="1" applyBorder="1" applyAlignment="1">
      <alignment horizontal="center"/>
    </xf>
    <xf numFmtId="0" fontId="9" fillId="0" borderId="0" xfId="3" applyFont="1" applyAlignment="1">
      <alignment wrapText="1"/>
    </xf>
    <xf numFmtId="0" fontId="10" fillId="0" borderId="0" xfId="0" applyFont="1"/>
    <xf numFmtId="4" fontId="11" fillId="0" borderId="0" xfId="2" applyNumberFormat="1" applyFont="1"/>
    <xf numFmtId="165" fontId="7" fillId="0" borderId="0" xfId="2" applyNumberFormat="1" applyFont="1"/>
    <xf numFmtId="0" fontId="7" fillId="0" borderId="0" xfId="2" applyFont="1"/>
    <xf numFmtId="4" fontId="7" fillId="0" borderId="0" xfId="2" applyNumberFormat="1" applyFont="1"/>
    <xf numFmtId="0" fontId="8" fillId="0" borderId="0" xfId="2" applyFont="1" applyAlignment="1">
      <alignment horizontal="center"/>
    </xf>
    <xf numFmtId="166" fontId="7" fillId="0" borderId="0" xfId="2" applyNumberFormat="1" applyFont="1"/>
    <xf numFmtId="0" fontId="9" fillId="0" borderId="0" xfId="2" applyFont="1"/>
    <xf numFmtId="3" fontId="7" fillId="0" borderId="0" xfId="2" applyNumberFormat="1" applyFont="1"/>
    <xf numFmtId="0" fontId="7" fillId="0" borderId="2" xfId="2" applyFont="1" applyBorder="1"/>
    <xf numFmtId="4" fontId="11" fillId="0" borderId="2" xfId="2" applyNumberFormat="1" applyFont="1" applyBorder="1"/>
    <xf numFmtId="3" fontId="7" fillId="0" borderId="2" xfId="2" applyNumberFormat="1" applyFont="1" applyBorder="1"/>
    <xf numFmtId="0" fontId="11" fillId="0" borderId="0" xfId="2" applyFont="1"/>
    <xf numFmtId="0" fontId="13" fillId="0" borderId="1" xfId="2" applyFont="1" applyBorder="1" applyAlignment="1">
      <alignment horizontal="center" vertical="center"/>
    </xf>
    <xf numFmtId="167" fontId="7" fillId="0" borderId="0" xfId="2" applyNumberFormat="1" applyFont="1"/>
    <xf numFmtId="167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indent="3"/>
    </xf>
    <xf numFmtId="0" fontId="7" fillId="0" borderId="3" xfId="2" applyFont="1" applyBorder="1"/>
    <xf numFmtId="4" fontId="11" fillId="0" borderId="3" xfId="2" applyNumberFormat="1" applyFont="1" applyBorder="1"/>
    <xf numFmtId="167" fontId="7" fillId="0" borderId="3" xfId="2" applyNumberFormat="1" applyFont="1" applyBorder="1" applyAlignment="1">
      <alignment horizontal="right" vertical="center"/>
    </xf>
    <xf numFmtId="167" fontId="7" fillId="0" borderId="3" xfId="2" applyNumberFormat="1" applyFont="1" applyBorder="1"/>
    <xf numFmtId="0" fontId="8" fillId="0" borderId="0" xfId="2" applyFont="1"/>
    <xf numFmtId="167" fontId="8" fillId="0" borderId="0" xfId="2" applyNumberFormat="1" applyFont="1" applyAlignment="1">
      <alignment horizontal="right" vertical="center"/>
    </xf>
    <xf numFmtId="167" fontId="8" fillId="0" borderId="0" xfId="2" applyNumberFormat="1" applyFont="1"/>
    <xf numFmtId="167" fontId="8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9" fillId="0" borderId="4" xfId="0" applyFont="1" applyBorder="1"/>
    <xf numFmtId="167" fontId="10" fillId="0" borderId="0" xfId="0" applyNumberFormat="1" applyFont="1"/>
    <xf numFmtId="0" fontId="6" fillId="0" borderId="0" xfId="1" applyFont="1" applyFill="1"/>
    <xf numFmtId="0" fontId="18" fillId="0" borderId="1" xfId="0" applyFont="1" applyBorder="1" applyAlignment="1">
      <alignment horizontal="left" vertical="center"/>
    </xf>
    <xf numFmtId="49" fontId="8" fillId="0" borderId="0" xfId="0" applyNumberFormat="1" applyFont="1" applyAlignment="1">
      <alignment vertical="top" wrapText="1"/>
    </xf>
    <xf numFmtId="0" fontId="9" fillId="0" borderId="1" xfId="0" applyFont="1" applyBorder="1"/>
    <xf numFmtId="0" fontId="21" fillId="0" borderId="0" xfId="0" applyFont="1"/>
    <xf numFmtId="0" fontId="17" fillId="0" borderId="0" xfId="0" applyFont="1"/>
    <xf numFmtId="0" fontId="20" fillId="0" borderId="0" xfId="0" applyFont="1"/>
    <xf numFmtId="49" fontId="22" fillId="0" borderId="2" xfId="0" applyNumberFormat="1" applyFont="1" applyBorder="1" applyAlignment="1">
      <alignment vertical="top" wrapText="1"/>
    </xf>
    <xf numFmtId="0" fontId="18" fillId="0" borderId="4" xfId="0" applyFont="1" applyBorder="1"/>
    <xf numFmtId="49" fontId="22" fillId="0" borderId="0" xfId="0" applyNumberFormat="1" applyFont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6" xfId="0" applyFont="1" applyBorder="1"/>
    <xf numFmtId="49" fontId="8" fillId="0" borderId="2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22" fillId="0" borderId="0" xfId="3" applyFont="1" applyAlignment="1">
      <alignment wrapText="1"/>
    </xf>
    <xf numFmtId="0" fontId="9" fillId="0" borderId="1" xfId="3" applyFont="1" applyBorder="1" applyAlignment="1">
      <alignment wrapText="1"/>
    </xf>
    <xf numFmtId="0" fontId="14" fillId="0" borderId="0" xfId="3" applyFont="1" applyAlignment="1">
      <alignment wrapText="1"/>
    </xf>
    <xf numFmtId="0" fontId="15" fillId="0" borderId="0" xfId="3" applyFont="1" applyAlignment="1">
      <alignment wrapText="1"/>
    </xf>
    <xf numFmtId="0" fontId="5" fillId="0" borderId="0" xfId="0" applyFont="1"/>
    <xf numFmtId="0" fontId="24" fillId="0" borderId="0" xfId="1" applyFont="1"/>
    <xf numFmtId="0" fontId="25" fillId="0" borderId="0" xfId="0" applyFont="1"/>
    <xf numFmtId="0" fontId="26" fillId="0" borderId="0" xfId="0" applyFont="1" applyAlignment="1">
      <alignment horizontal="left" vertical="center"/>
    </xf>
    <xf numFmtId="0" fontId="29" fillId="2" borderId="0" xfId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2" borderId="0" xfId="1" applyFont="1" applyFill="1" applyBorder="1" applyAlignment="1">
      <alignment horizontal="right" vertical="center"/>
    </xf>
    <xf numFmtId="0" fontId="28" fillId="0" borderId="0" xfId="0" applyFont="1"/>
    <xf numFmtId="167" fontId="9" fillId="0" borderId="4" xfId="0" applyNumberFormat="1" applyFont="1" applyBorder="1"/>
    <xf numFmtId="0" fontId="10" fillId="0" borderId="0" xfId="0" applyFont="1" applyAlignment="1">
      <alignment horizontal="left" indent="1"/>
    </xf>
    <xf numFmtId="165" fontId="7" fillId="0" borderId="0" xfId="2" applyNumberFormat="1" applyFont="1" applyFill="1"/>
    <xf numFmtId="167" fontId="7" fillId="0" borderId="0" xfId="2" applyNumberFormat="1" applyFont="1" applyFill="1"/>
    <xf numFmtId="167" fontId="8" fillId="0" borderId="0" xfId="2" applyNumberFormat="1" applyFont="1" applyFill="1"/>
    <xf numFmtId="167" fontId="7" fillId="0" borderId="2" xfId="2" applyNumberFormat="1" applyFont="1" applyBorder="1" applyAlignment="1">
      <alignment horizontal="right" vertical="center"/>
    </xf>
    <xf numFmtId="0" fontId="13" fillId="0" borderId="0" xfId="2" applyFont="1"/>
    <xf numFmtId="0" fontId="34" fillId="0" borderId="0" xfId="1" applyFont="1"/>
    <xf numFmtId="165" fontId="10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7" fontId="17" fillId="0" borderId="0" xfId="0" applyNumberFormat="1" applyFont="1"/>
    <xf numFmtId="167" fontId="9" fillId="0" borderId="1" xfId="0" applyNumberFormat="1" applyFont="1" applyBorder="1"/>
    <xf numFmtId="167" fontId="35" fillId="0" borderId="4" xfId="0" applyNumberFormat="1" applyFont="1" applyBorder="1"/>
    <xf numFmtId="167" fontId="10" fillId="0" borderId="4" xfId="0" applyNumberFormat="1" applyFont="1" applyBorder="1"/>
    <xf numFmtId="167" fontId="10" fillId="0" borderId="2" xfId="0" applyNumberFormat="1" applyFont="1" applyBorder="1"/>
    <xf numFmtId="167" fontId="10" fillId="0" borderId="5" xfId="0" applyNumberFormat="1" applyFont="1" applyBorder="1"/>
    <xf numFmtId="0" fontId="10" fillId="0" borderId="0" xfId="0" quotePrefix="1" applyFont="1"/>
    <xf numFmtId="0" fontId="10" fillId="0" borderId="4" xfId="0" applyFont="1" applyBorder="1"/>
    <xf numFmtId="167" fontId="17" fillId="0" borderId="0" xfId="0" quotePrefix="1" applyNumberFormat="1" applyFont="1"/>
    <xf numFmtId="167" fontId="10" fillId="0" borderId="0" xfId="0" quotePrefix="1" applyNumberFormat="1" applyFont="1"/>
    <xf numFmtId="167" fontId="9" fillId="0" borderId="4" xfId="0" quotePrefix="1" applyNumberFormat="1" applyFont="1" applyBorder="1"/>
    <xf numFmtId="3" fontId="10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4" xfId="0" quotePrefix="1" applyFont="1" applyBorder="1"/>
    <xf numFmtId="14" fontId="17" fillId="0" borderId="1" xfId="0" applyNumberFormat="1" applyFont="1" applyBorder="1" applyAlignment="1">
      <alignment horizontal="center"/>
    </xf>
    <xf numFmtId="14" fontId="17" fillId="0" borderId="4" xfId="0" applyNumberFormat="1" applyFont="1" applyBorder="1"/>
    <xf numFmtId="167" fontId="16" fillId="0" borderId="0" xfId="0" applyNumberFormat="1" applyFont="1"/>
    <xf numFmtId="167" fontId="10" fillId="0" borderId="6" xfId="0" applyNumberFormat="1" applyFont="1" applyBorder="1"/>
    <xf numFmtId="0" fontId="10" fillId="0" borderId="5" xfId="0" applyFont="1" applyBorder="1"/>
    <xf numFmtId="167" fontId="10" fillId="0" borderId="0" xfId="0" applyNumberFormat="1" applyFont="1" applyFill="1"/>
    <xf numFmtId="167" fontId="17" fillId="0" borderId="2" xfId="0" applyNumberFormat="1" applyFont="1" applyBorder="1"/>
    <xf numFmtId="3" fontId="35" fillId="0" borderId="4" xfId="0" applyNumberFormat="1" applyFont="1" applyBorder="1"/>
    <xf numFmtId="167" fontId="18" fillId="0" borderId="0" xfId="0" applyNumberFormat="1" applyFont="1"/>
    <xf numFmtId="0" fontId="18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167" fontId="17" fillId="0" borderId="1" xfId="0" applyNumberFormat="1" applyFont="1" applyBorder="1"/>
    <xf numFmtId="167" fontId="17" fillId="0" borderId="4" xfId="0" applyNumberFormat="1" applyFont="1" applyBorder="1"/>
    <xf numFmtId="4" fontId="11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3" fontId="10" fillId="0" borderId="0" xfId="0" applyNumberFormat="1" applyFont="1"/>
    <xf numFmtId="4" fontId="10" fillId="0" borderId="0" xfId="0" applyNumberFormat="1" applyFont="1"/>
    <xf numFmtId="167" fontId="10" fillId="0" borderId="0" xfId="0" applyNumberFormat="1" applyFont="1" applyAlignment="1">
      <alignment horizontal="right" vertical="center"/>
    </xf>
    <xf numFmtId="167" fontId="7" fillId="0" borderId="2" xfId="2" applyNumberFormat="1" applyFont="1" applyBorder="1"/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6" fillId="3" borderId="12" xfId="5" applyFont="1" applyFill="1" applyBorder="1" applyAlignment="1">
      <alignment horizontal="center" vertical="center" wrapText="1"/>
    </xf>
    <xf numFmtId="3" fontId="36" fillId="3" borderId="12" xfId="5" applyNumberFormat="1" applyFont="1" applyFill="1" applyBorder="1" applyAlignment="1">
      <alignment horizontal="center" vertical="center" wrapText="1"/>
    </xf>
    <xf numFmtId="0" fontId="36" fillId="3" borderId="12" xfId="6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left" vertical="center" wrapText="1"/>
    </xf>
    <xf numFmtId="3" fontId="36" fillId="3" borderId="12" xfId="5" applyNumberFormat="1" applyFont="1" applyFill="1" applyBorder="1" applyAlignment="1">
      <alignment horizontal="right" vertical="center" wrapText="1"/>
    </xf>
    <xf numFmtId="0" fontId="38" fillId="3" borderId="12" xfId="6" applyFont="1" applyFill="1" applyBorder="1" applyAlignment="1">
      <alignment horizontal="center" vertical="center" wrapText="1"/>
    </xf>
    <xf numFmtId="0" fontId="39" fillId="0" borderId="12" xfId="7" applyFont="1" applyBorder="1" applyAlignment="1">
      <alignment horizontal="center" vertical="center" wrapText="1"/>
    </xf>
    <xf numFmtId="0" fontId="39" fillId="0" borderId="12" xfId="7" applyFont="1" applyBorder="1" applyAlignment="1">
      <alignment horizontal="left" vertical="center" wrapText="1"/>
    </xf>
    <xf numFmtId="3" fontId="39" fillId="0" borderId="12" xfId="7" applyNumberFormat="1" applyFont="1" applyBorder="1" applyAlignment="1">
      <alignment horizontal="right" vertical="center" wrapText="1"/>
    </xf>
    <xf numFmtId="3" fontId="39" fillId="0" borderId="12" xfId="7" applyNumberFormat="1" applyFont="1" applyBorder="1" applyAlignment="1">
      <alignment horizontal="center" vertical="center" wrapText="1"/>
    </xf>
    <xf numFmtId="170" fontId="39" fillId="0" borderId="12" xfId="7" applyNumberFormat="1" applyFont="1" applyBorder="1" applyAlignment="1">
      <alignment horizontal="center" vertical="center" wrapText="1"/>
    </xf>
    <xf numFmtId="171" fontId="39" fillId="0" borderId="12" xfId="12" applyNumberFormat="1" applyFont="1" applyFill="1" applyBorder="1" applyAlignment="1">
      <alignment horizontal="center" vertical="center" wrapText="1"/>
    </xf>
    <xf numFmtId="3" fontId="39" fillId="0" borderId="12" xfId="7" applyNumberFormat="1" applyFont="1" applyBorder="1" applyAlignment="1">
      <alignment horizontal="right" vertical="center"/>
    </xf>
    <xf numFmtId="172" fontId="39" fillId="0" borderId="12" xfId="7" applyNumberFormat="1" applyFont="1" applyBorder="1" applyAlignment="1">
      <alignment horizontal="center" vertical="center" wrapText="1"/>
    </xf>
    <xf numFmtId="3" fontId="40" fillId="0" borderId="12" xfId="7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169" fontId="41" fillId="4" borderId="12" xfId="7" applyNumberFormat="1" applyFont="1" applyFill="1" applyBorder="1" applyAlignment="1">
      <alignment horizontal="center" vertical="center"/>
    </xf>
    <xf numFmtId="0" fontId="41" fillId="4" borderId="12" xfId="7" applyFont="1" applyFill="1" applyBorder="1" applyAlignment="1">
      <alignment horizontal="left" vertical="center"/>
    </xf>
    <xf numFmtId="3" fontId="41" fillId="4" borderId="12" xfId="7" applyNumberFormat="1" applyFont="1" applyFill="1" applyBorder="1" applyAlignment="1">
      <alignment horizontal="right" vertical="center"/>
    </xf>
    <xf numFmtId="3" fontId="41" fillId="4" borderId="12" xfId="7" applyNumberFormat="1" applyFont="1" applyFill="1" applyBorder="1" applyAlignment="1">
      <alignment horizontal="center" vertical="center"/>
    </xf>
    <xf numFmtId="3" fontId="42" fillId="4" borderId="12" xfId="7" applyNumberFormat="1" applyFont="1" applyFill="1" applyBorder="1" applyAlignment="1">
      <alignment horizontal="right" vertical="center"/>
    </xf>
    <xf numFmtId="3" fontId="39" fillId="0" borderId="12" xfId="7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3" fontId="37" fillId="0" borderId="0" xfId="0" applyNumberFormat="1" applyFont="1" applyAlignment="1">
      <alignment horizontal="right" vertical="center" wrapText="1"/>
    </xf>
    <xf numFmtId="3" fontId="37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/>
    </xf>
    <xf numFmtId="0" fontId="36" fillId="3" borderId="13" xfId="5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2" xfId="9" applyFont="1" applyFill="1" applyBorder="1" applyAlignment="1">
      <alignment horizontal="center" vertical="center" wrapText="1"/>
    </xf>
    <xf numFmtId="0" fontId="37" fillId="0" borderId="0" xfId="0" applyFont="1"/>
    <xf numFmtId="0" fontId="43" fillId="0" borderId="0" xfId="0" applyFont="1" applyAlignment="1">
      <alignment vertical="center" wrapText="1"/>
    </xf>
    <xf numFmtId="3" fontId="39" fillId="0" borderId="0" xfId="0" applyNumberFormat="1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36" fillId="3" borderId="13" xfId="6" applyFont="1" applyFill="1" applyBorder="1" applyAlignment="1">
      <alignment horizontal="center" vertical="center" wrapText="1"/>
    </xf>
    <xf numFmtId="0" fontId="36" fillId="3" borderId="13" xfId="5" applyFont="1" applyFill="1" applyBorder="1" applyAlignment="1">
      <alignment horizontal="left" vertical="center" wrapText="1"/>
    </xf>
    <xf numFmtId="0" fontId="39" fillId="0" borderId="11" xfId="7" applyFont="1" applyBorder="1" applyAlignment="1">
      <alignment horizontal="center" vertical="center" wrapText="1"/>
    </xf>
    <xf numFmtId="3" fontId="45" fillId="0" borderId="0" xfId="0" applyNumberFormat="1" applyFont="1" applyAlignment="1">
      <alignment vertical="center" wrapText="1"/>
    </xf>
    <xf numFmtId="9" fontId="45" fillId="0" borderId="0" xfId="12" applyFont="1" applyAlignment="1">
      <alignment vertical="center" wrapText="1"/>
    </xf>
    <xf numFmtId="173" fontId="39" fillId="0" borderId="12" xfId="7" applyNumberFormat="1" applyFont="1" applyBorder="1" applyAlignment="1">
      <alignment horizontal="center" vertical="center" wrapText="1"/>
    </xf>
    <xf numFmtId="9" fontId="37" fillId="0" borderId="0" xfId="12" applyFont="1" applyAlignment="1">
      <alignment vertical="center" wrapText="1"/>
    </xf>
    <xf numFmtId="3" fontId="37" fillId="0" borderId="0" xfId="0" applyNumberFormat="1" applyFont="1"/>
    <xf numFmtId="0" fontId="41" fillId="4" borderId="12" xfId="7" applyFont="1" applyFill="1" applyBorder="1" applyAlignment="1">
      <alignment horizontal="left" vertical="center" wrapText="1"/>
    </xf>
    <xf numFmtId="3" fontId="41" fillId="4" borderId="12" xfId="7" applyNumberFormat="1" applyFont="1" applyFill="1" applyBorder="1" applyAlignment="1">
      <alignment horizontal="right" vertical="center" wrapText="1"/>
    </xf>
    <xf numFmtId="171" fontId="45" fillId="0" borderId="0" xfId="12" applyNumberFormat="1" applyFont="1" applyAlignment="1">
      <alignment vertical="center" wrapText="1"/>
    </xf>
    <xf numFmtId="0" fontId="44" fillId="0" borderId="12" xfId="7" applyFont="1" applyBorder="1" applyAlignment="1">
      <alignment horizontal="center" vertical="center" wrapText="1"/>
    </xf>
    <xf numFmtId="0" fontId="46" fillId="0" borderId="12" xfId="7" applyFont="1" applyBorder="1" applyAlignment="1">
      <alignment horizontal="left" vertical="center" wrapText="1"/>
    </xf>
    <xf numFmtId="3" fontId="44" fillId="0" borderId="12" xfId="7" applyNumberFormat="1" applyFont="1" applyBorder="1" applyAlignment="1">
      <alignment horizontal="right" vertical="center" wrapText="1"/>
    </xf>
    <xf numFmtId="0" fontId="36" fillId="3" borderId="12" xfId="9" applyFont="1" applyFill="1" applyBorder="1" applyAlignment="1">
      <alignment horizontal="left" vertical="center"/>
    </xf>
    <xf numFmtId="0" fontId="46" fillId="4" borderId="12" xfId="7" applyFont="1" applyFill="1" applyBorder="1" applyAlignment="1">
      <alignment horizontal="left" vertical="center" wrapText="1"/>
    </xf>
    <xf numFmtId="0" fontId="46" fillId="4" borderId="12" xfId="7" applyFont="1" applyFill="1" applyBorder="1" applyAlignment="1">
      <alignment horizontal="left" vertical="center"/>
    </xf>
    <xf numFmtId="169" fontId="46" fillId="4" borderId="12" xfId="7" applyNumberFormat="1" applyFont="1" applyFill="1" applyBorder="1" applyAlignment="1">
      <alignment horizontal="center" vertical="center"/>
    </xf>
    <xf numFmtId="3" fontId="46" fillId="4" borderId="12" xfId="7" applyNumberFormat="1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left" indent="1"/>
    </xf>
    <xf numFmtId="0" fontId="36" fillId="3" borderId="11" xfId="6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36" fillId="0" borderId="12" xfId="5" applyFont="1" applyFill="1" applyBorder="1" applyAlignment="1">
      <alignment horizontal="center" vertical="center" wrapText="1"/>
    </xf>
    <xf numFmtId="3" fontId="36" fillId="0" borderId="12" xfId="5" applyNumberFormat="1" applyFont="1" applyFill="1" applyBorder="1" applyAlignment="1">
      <alignment horizontal="right" vertical="center" wrapText="1"/>
    </xf>
    <xf numFmtId="0" fontId="45" fillId="0" borderId="11" xfId="6" applyFont="1" applyFill="1" applyBorder="1" applyAlignment="1">
      <alignment horizontal="center" vertical="center" wrapText="1"/>
    </xf>
    <xf numFmtId="0" fontId="38" fillId="0" borderId="12" xfId="6" applyFont="1" applyFill="1" applyBorder="1" applyAlignment="1">
      <alignment horizontal="center" vertical="center" wrapText="1"/>
    </xf>
    <xf numFmtId="0" fontId="0" fillId="0" borderId="0" xfId="0" applyFill="1"/>
    <xf numFmtId="3" fontId="39" fillId="0" borderId="12" xfId="7" applyNumberFormat="1" applyFont="1" applyFill="1" applyBorder="1" applyAlignment="1">
      <alignment horizontal="center" vertical="center" wrapText="1"/>
    </xf>
    <xf numFmtId="170" fontId="39" fillId="0" borderId="12" xfId="7" applyNumberFormat="1" applyFont="1" applyFill="1" applyBorder="1" applyAlignment="1">
      <alignment horizontal="center" vertical="center" wrapText="1"/>
    </xf>
    <xf numFmtId="3" fontId="39" fillId="0" borderId="12" xfId="7" applyNumberFormat="1" applyFont="1" applyFill="1" applyBorder="1" applyAlignment="1">
      <alignment horizontal="right" vertical="center"/>
    </xf>
    <xf numFmtId="172" fontId="39" fillId="0" borderId="12" xfId="8" applyNumberFormat="1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 wrapText="1"/>
    </xf>
    <xf numFmtId="3" fontId="40" fillId="0" borderId="12" xfId="7" applyNumberFormat="1" applyFont="1" applyFill="1" applyBorder="1" applyAlignment="1">
      <alignment horizontal="right" vertical="center" wrapText="1"/>
    </xf>
    <xf numFmtId="172" fontId="39" fillId="0" borderId="12" xfId="7" applyNumberFormat="1" applyFont="1" applyFill="1" applyBorder="1" applyAlignment="1">
      <alignment horizontal="center" vertical="center" wrapText="1"/>
    </xf>
    <xf numFmtId="3" fontId="41" fillId="0" borderId="12" xfId="7" applyNumberFormat="1" applyFont="1" applyFill="1" applyBorder="1" applyAlignment="1">
      <alignment horizontal="right" vertical="center"/>
    </xf>
    <xf numFmtId="169" fontId="41" fillId="0" borderId="12" xfId="7" applyNumberFormat="1" applyFont="1" applyFill="1" applyBorder="1" applyAlignment="1">
      <alignment horizontal="center" vertical="center"/>
    </xf>
    <xf numFmtId="3" fontId="41" fillId="0" borderId="12" xfId="7" applyNumberFormat="1" applyFont="1" applyFill="1" applyBorder="1" applyAlignment="1">
      <alignment horizontal="center" vertical="center"/>
    </xf>
    <xf numFmtId="3" fontId="42" fillId="0" borderId="12" xfId="7" applyNumberFormat="1" applyFont="1" applyFill="1" applyBorder="1" applyAlignment="1">
      <alignment horizontal="right" vertical="center"/>
    </xf>
    <xf numFmtId="3" fontId="39" fillId="5" borderId="12" xfId="7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Alignment="1">
      <alignment horizontal="right" vertical="center" wrapText="1"/>
    </xf>
    <xf numFmtId="3" fontId="37" fillId="0" borderId="0" xfId="0" applyNumberFormat="1" applyFont="1" applyFill="1" applyAlignment="1">
      <alignment vertical="center" wrapText="1"/>
    </xf>
    <xf numFmtId="0" fontId="43" fillId="0" borderId="0" xfId="0" applyFont="1" applyFill="1" applyAlignment="1">
      <alignment vertical="center"/>
    </xf>
    <xf numFmtId="0" fontId="36" fillId="0" borderId="11" xfId="6" applyFont="1" applyFill="1" applyBorder="1" applyAlignment="1">
      <alignment horizontal="center" vertical="center"/>
    </xf>
    <xf numFmtId="0" fontId="38" fillId="0" borderId="12" xfId="6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 wrapText="1"/>
    </xf>
    <xf numFmtId="172" fontId="39" fillId="0" borderId="12" xfId="7" applyNumberFormat="1" applyFont="1" applyFill="1" applyBorder="1" applyAlignment="1">
      <alignment horizontal="center" vertical="center"/>
    </xf>
    <xf numFmtId="3" fontId="40" fillId="0" borderId="12" xfId="7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vertical="center"/>
    </xf>
    <xf numFmtId="0" fontId="36" fillId="0" borderId="13" xfId="6" applyFont="1" applyFill="1" applyBorder="1" applyAlignment="1">
      <alignment horizontal="center" vertical="center" wrapText="1"/>
    </xf>
    <xf numFmtId="0" fontId="36" fillId="0" borderId="13" xfId="5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 applyAlignment="1">
      <alignment vertical="center"/>
    </xf>
    <xf numFmtId="170" fontId="7" fillId="0" borderId="0" xfId="2" applyNumberFormat="1" applyFont="1"/>
    <xf numFmtId="173" fontId="7" fillId="0" borderId="0" xfId="2" applyNumberFormat="1" applyFont="1"/>
    <xf numFmtId="3" fontId="36" fillId="3" borderId="8" xfId="6" applyNumberFormat="1" applyFont="1" applyFill="1" applyBorder="1" applyAlignment="1">
      <alignment horizontal="center" vertical="center" wrapText="1"/>
    </xf>
    <xf numFmtId="3" fontId="36" fillId="3" borderId="9" xfId="6" applyNumberFormat="1" applyFont="1" applyFill="1" applyBorder="1" applyAlignment="1">
      <alignment horizontal="center" vertical="center" wrapText="1"/>
    </xf>
    <xf numFmtId="3" fontId="36" fillId="3" borderId="10" xfId="6" applyNumberFormat="1" applyFont="1" applyFill="1" applyBorder="1" applyAlignment="1">
      <alignment horizontal="center" vertical="center" wrapText="1"/>
    </xf>
    <xf numFmtId="0" fontId="36" fillId="3" borderId="7" xfId="6" applyFont="1" applyFill="1" applyBorder="1" applyAlignment="1">
      <alignment horizontal="center" vertical="center" wrapText="1"/>
    </xf>
    <xf numFmtId="0" fontId="36" fillId="3" borderId="11" xfId="6" applyFont="1" applyFill="1" applyBorder="1" applyAlignment="1">
      <alignment horizontal="center" vertical="center" wrapText="1"/>
    </xf>
    <xf numFmtId="0" fontId="36" fillId="3" borderId="8" xfId="5" applyFont="1" applyFill="1" applyBorder="1" applyAlignment="1">
      <alignment horizontal="center" vertical="center"/>
    </xf>
    <xf numFmtId="0" fontId="36" fillId="3" borderId="9" xfId="5" applyFont="1" applyFill="1" applyBorder="1" applyAlignment="1">
      <alignment horizontal="center" vertical="center"/>
    </xf>
    <xf numFmtId="0" fontId="36" fillId="3" borderId="10" xfId="5" applyFont="1" applyFill="1" applyBorder="1" applyAlignment="1">
      <alignment horizontal="center" vertical="center"/>
    </xf>
    <xf numFmtId="0" fontId="36" fillId="3" borderId="7" xfId="5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center" vertical="center" wrapText="1"/>
    </xf>
    <xf numFmtId="0" fontId="36" fillId="3" borderId="8" xfId="5" applyFont="1" applyFill="1" applyBorder="1" applyAlignment="1">
      <alignment horizontal="center" vertical="center" wrapText="1"/>
    </xf>
    <xf numFmtId="0" fontId="36" fillId="3" borderId="9" xfId="5" applyFont="1" applyFill="1" applyBorder="1" applyAlignment="1">
      <alignment horizontal="center" vertical="center" wrapText="1"/>
    </xf>
    <xf numFmtId="0" fontId="36" fillId="3" borderId="10" xfId="5" applyFont="1" applyFill="1" applyBorder="1" applyAlignment="1">
      <alignment horizontal="center" vertical="center" wrapText="1"/>
    </xf>
  </cellXfs>
  <cellStyles count="13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  <cellStyle name="Процентный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externalLink" Target="externalLinks/externalLink163.xml"/><Relationship Id="rId191" Type="http://schemas.openxmlformats.org/officeDocument/2006/relationships/externalLink" Target="externalLinks/externalLink184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181" Type="http://schemas.openxmlformats.org/officeDocument/2006/relationships/externalLink" Target="externalLinks/externalLink174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externalLink" Target="externalLinks/externalLink164.xml"/><Relationship Id="rId192" Type="http://schemas.openxmlformats.org/officeDocument/2006/relationships/externalLink" Target="externalLinks/externalLink185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82" Type="http://schemas.openxmlformats.org/officeDocument/2006/relationships/externalLink" Target="externalLinks/externalLink17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44.xml"/><Relationship Id="rId172" Type="http://schemas.openxmlformats.org/officeDocument/2006/relationships/externalLink" Target="externalLinks/externalLink165.xml"/><Relationship Id="rId193" Type="http://schemas.openxmlformats.org/officeDocument/2006/relationships/externalLink" Target="externalLinks/externalLink186.xml"/><Relationship Id="rId13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183" Type="http://schemas.openxmlformats.org/officeDocument/2006/relationships/externalLink" Target="externalLinks/externalLink1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externalLink" Target="externalLinks/externalLink166.xml"/><Relationship Id="rId194" Type="http://schemas.openxmlformats.org/officeDocument/2006/relationships/externalLink" Target="externalLinks/externalLink187.xml"/><Relationship Id="rId199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184" Type="http://schemas.openxmlformats.org/officeDocument/2006/relationships/externalLink" Target="externalLinks/externalLink177.xml"/><Relationship Id="rId189" Type="http://schemas.openxmlformats.org/officeDocument/2006/relationships/externalLink" Target="externalLinks/externalLink18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externalLink" Target="externalLinks/externalLink167.xml"/><Relationship Id="rId179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88.xml"/><Relationship Id="rId190" Type="http://schemas.openxmlformats.org/officeDocument/2006/relationships/externalLink" Target="externalLinks/externalLink183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7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3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75" Type="http://schemas.openxmlformats.org/officeDocument/2006/relationships/externalLink" Target="externalLinks/externalLink168.xml"/><Relationship Id="rId196" Type="http://schemas.openxmlformats.org/officeDocument/2006/relationships/theme" Target="theme/theme1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186" Type="http://schemas.openxmlformats.org/officeDocument/2006/relationships/externalLink" Target="externalLinks/externalLink179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6" Type="http://schemas.openxmlformats.org/officeDocument/2006/relationships/externalLink" Target="externalLinks/externalLink169.xml"/><Relationship Id="rId197" Type="http://schemas.openxmlformats.org/officeDocument/2006/relationships/styles" Target="styles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Relationship Id="rId187" Type="http://schemas.openxmlformats.org/officeDocument/2006/relationships/externalLink" Target="externalLinks/externalLink18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60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56" Type="http://schemas.openxmlformats.org/officeDocument/2006/relationships/externalLink" Target="externalLinks/externalLink149.xml"/><Relationship Id="rId177" Type="http://schemas.openxmlformats.org/officeDocument/2006/relationships/externalLink" Target="externalLinks/externalLink170.xml"/><Relationship Id="rId198" Type="http://schemas.openxmlformats.org/officeDocument/2006/relationships/sharedStrings" Target="sharedStrings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18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188" Type="http://schemas.openxmlformats.org/officeDocument/2006/relationships/externalLink" Target="externalLinks/externalLink1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400440</xdr:colOff>
      <xdr:row>2</xdr:row>
      <xdr:rowOff>85725</xdr:rowOff>
    </xdr:from>
    <xdr:to>
      <xdr:col>1</xdr:col>
      <xdr:colOff>2312906</xdr:colOff>
      <xdr:row>6</xdr:row>
      <xdr:rowOff>119133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87DC1E1-DEF8-4C2B-9745-E93E3A22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40" y="466725"/>
          <a:ext cx="2522066" cy="843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15.%20Valuation\Projects\_CURRENT%20PROJECTS\UFG_2015\Strastnoy\07_Calculation\Turk-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Temp\notes5DA91C\&#1053;&#1086;&#1074;&#1099;&#1081;%20&#1086;&#1073;&#1097;&#1080;&#1081;%20&#1096;&#1072;&#1073;&#1083;&#1086;&#108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~1\Bukseev\LOCALS~1\Temp\bat\3130076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erina\d\WIN\&#1056;&#1072;&#1073;&#1086;&#1095;&#1080;&#1081;%20&#1089;&#1090;&#1086;&#1083;\&#1062;&#1077;&#1093;%2013_&#1086;&#1073;&#1086;&#1088;&#1091;&#1076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3C835DF\&#1044;&#1086;&#1075;&#1086;&#1074;&#1086;&#1088;%20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70;&#1044;&#1052;&#1048;&#1051;&#1040;\C\&#1052;&#1086;&#1080;%20&#1076;&#1086;&#1082;&#1091;&#1084;&#1077;&#1085;&#1090;&#1099;\GERASIMCHU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3;&#1077;&#1079;&#1072;&#1074;&#1055;&#1088;&#1077;&#1089;&#1089;\PRAVDA-NZ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7;&#1083;&#1072;&#1074;&#1080;&#1095;\GAM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Common_E\111\&#1064;&#1072;&#1096;&#1072;\&#1050;&#1088;&#1072;&#1081;&#1085;&#1077;&#1074;&#1072;\&#1086;&#1094;&#1077;&#1085;&#1082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ba\&#1056;&#1072;&#1073;&#1086;&#1095;&#1072;&#1103;\&#1088;&#1072;&#1089;&#1095;&#1077;&#1090;%20&#1043;&#1059;&#1055;%20&#1086;&#1082;.%20&#1074;&#1072;&#1088;.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AF56F0B\&#1079;&#1072;&#1090;&#1088;&#1072;&#1090;&#1085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2002\&#1051;&#1091;&#1082;&#1086;&#1081;&#1083;%202\&#1057;&#1074;&#1086;&#107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USERS\INFORM\FIN\PASX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Business\Renova\Work\Zhivchikov\&#1050;&#1069;&#1057;\&#1048;&#1088;&#1082;&#1091;&#1090;&#1089;&#1082;\Estimation\Model_IrkutskEnergoStroy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clients\Documents\Projects\RAO%20UES\Sample%20Reports\CEZ\CEZ_Model_16_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My%20Documents\Billing%20system%20analys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WINDOWS\TEMP\notesE1EF34\Gestion\$SOFTR\Budget%202005-2006\721\SYNTH_PL.syn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Healthcare\Comparator%20companies\Specialty%20Pharma\new_spec_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TEMP\&#1086;&#1090;&#1095;&#1077;&#1090;&#1085;&#1086;&#1089;&#1090;&#1100;_%2030.06.99.&#1095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999513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NAV\PIF_Repor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Financial%20department\Standard%20&amp;%20Poor's\Liquidity%20Reports\CJSC%20SSMO%20LenSpetSMU_LR%202013%20Q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376A878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14120EC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sdelki\&#1054;&#1051;&#1045;&#1043;\&#1050;&#1059;&#1053;&#1062;&#1045;&#1042;&#1054;\DeltaAutoLease%20calculato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beg.net\documents\&#1052;&#1086;&#1080;%20&#1076;&#1086;&#1082;&#1091;&#1084;&#1077;&#1085;&#1090;&#1099;\GENER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IgMoz\WINDOWS\&#1056;&#1072;&#1073;&#1086;&#1095;&#1080;&#1081;%20&#1089;&#1090;&#1086;&#1083;\OCENK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UserSets\SUGAR\Mult_usr\Balans\A-Reestry\UP_OVER\03_2001\&#1050;&#1088;&#1077;&#1076;&#1080;&#1090;&#1099;_&#1089;&#1074;&#1086;&#107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A6">
            <v>10000</v>
          </cell>
          <cell r="D6">
            <v>0.12</v>
          </cell>
          <cell r="E6">
            <v>0</v>
          </cell>
        </row>
      </sheetData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Срок фактического использования, мес.</v>
          </cell>
          <cell r="F1" t="str">
            <v>Срок полезного использования, мес.</v>
          </cell>
          <cell r="G1" t="str">
            <v>Оставшийся срок полезного использования, мес.</v>
          </cell>
          <cell r="H1" t="str">
            <v>Физический износ (по результатам расчета), %</v>
          </cell>
          <cell r="I1" t="str">
            <v>Физический износ (указанный Заказчиком), %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84</v>
          </cell>
          <cell r="F2">
            <v>84</v>
          </cell>
          <cell r="G2">
            <v>0</v>
          </cell>
          <cell r="H2">
            <v>97</v>
          </cell>
          <cell r="I2">
            <v>100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80</v>
          </cell>
          <cell r="F3">
            <v>60</v>
          </cell>
          <cell r="G3">
            <v>0</v>
          </cell>
          <cell r="H3">
            <v>97</v>
          </cell>
          <cell r="I3">
            <v>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77</v>
          </cell>
          <cell r="F4">
            <v>84</v>
          </cell>
          <cell r="G4">
            <v>7</v>
          </cell>
          <cell r="H4">
            <v>92</v>
          </cell>
          <cell r="I4">
            <v>100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77</v>
          </cell>
          <cell r="F5">
            <v>84</v>
          </cell>
          <cell r="G5">
            <v>7</v>
          </cell>
          <cell r="H5">
            <v>92</v>
          </cell>
          <cell r="I5">
            <v>100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77</v>
          </cell>
          <cell r="F6">
            <v>84</v>
          </cell>
          <cell r="G6">
            <v>7</v>
          </cell>
          <cell r="H6">
            <v>92</v>
          </cell>
          <cell r="I6">
            <v>100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77</v>
          </cell>
          <cell r="F7">
            <v>84</v>
          </cell>
          <cell r="G7">
            <v>7</v>
          </cell>
          <cell r="H7">
            <v>92</v>
          </cell>
          <cell r="I7">
            <v>100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77</v>
          </cell>
          <cell r="F8">
            <v>84</v>
          </cell>
          <cell r="G8">
            <v>7</v>
          </cell>
          <cell r="H8">
            <v>92</v>
          </cell>
          <cell r="I8">
            <v>100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77</v>
          </cell>
          <cell r="F9">
            <v>84</v>
          </cell>
          <cell r="G9">
            <v>7</v>
          </cell>
          <cell r="H9">
            <v>92</v>
          </cell>
          <cell r="I9">
            <v>100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74</v>
          </cell>
          <cell r="F10">
            <v>84</v>
          </cell>
          <cell r="G10">
            <v>10</v>
          </cell>
          <cell r="H10">
            <v>88</v>
          </cell>
          <cell r="I10">
            <v>100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69</v>
          </cell>
          <cell r="F11">
            <v>72</v>
          </cell>
          <cell r="G11">
            <v>3</v>
          </cell>
          <cell r="H11">
            <v>96</v>
          </cell>
          <cell r="I11">
            <v>100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69</v>
          </cell>
          <cell r="F12">
            <v>72</v>
          </cell>
          <cell r="G12">
            <v>3</v>
          </cell>
          <cell r="H12">
            <v>96</v>
          </cell>
          <cell r="I12">
            <v>100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69</v>
          </cell>
          <cell r="F13">
            <v>72</v>
          </cell>
          <cell r="G13">
            <v>3</v>
          </cell>
          <cell r="H13">
            <v>96</v>
          </cell>
          <cell r="I13">
            <v>100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69</v>
          </cell>
          <cell r="F14">
            <v>72</v>
          </cell>
          <cell r="G14">
            <v>3</v>
          </cell>
          <cell r="H14">
            <v>96</v>
          </cell>
          <cell r="I14">
            <v>100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69</v>
          </cell>
          <cell r="F15">
            <v>72</v>
          </cell>
          <cell r="G15">
            <v>3</v>
          </cell>
          <cell r="H15">
            <v>96</v>
          </cell>
          <cell r="I15">
            <v>100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65</v>
          </cell>
          <cell r="F16">
            <v>60</v>
          </cell>
          <cell r="G16">
            <v>0</v>
          </cell>
          <cell r="H16">
            <v>97</v>
          </cell>
          <cell r="I16">
            <v>60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81</v>
          </cell>
          <cell r="F17">
            <v>60</v>
          </cell>
          <cell r="G17">
            <v>0</v>
          </cell>
          <cell r="H17">
            <v>97</v>
          </cell>
          <cell r="I17">
            <v>100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79</v>
          </cell>
          <cell r="F18">
            <v>60</v>
          </cell>
          <cell r="G18">
            <v>0</v>
          </cell>
          <cell r="H18">
            <v>97</v>
          </cell>
          <cell r="I18">
            <v>75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79</v>
          </cell>
          <cell r="F19">
            <v>60</v>
          </cell>
          <cell r="G19">
            <v>0</v>
          </cell>
          <cell r="H19">
            <v>97</v>
          </cell>
          <cell r="I19">
            <v>100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78</v>
          </cell>
          <cell r="F20">
            <v>60</v>
          </cell>
          <cell r="G20">
            <v>0</v>
          </cell>
          <cell r="H20">
            <v>97</v>
          </cell>
          <cell r="I20">
            <v>100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77</v>
          </cell>
          <cell r="F21">
            <v>60</v>
          </cell>
          <cell r="G21">
            <v>0</v>
          </cell>
          <cell r="H21">
            <v>97</v>
          </cell>
          <cell r="I21">
            <v>75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60</v>
          </cell>
          <cell r="F22">
            <v>60</v>
          </cell>
          <cell r="G22">
            <v>0</v>
          </cell>
          <cell r="H22">
            <v>97</v>
          </cell>
          <cell r="I22">
            <v>80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54</v>
          </cell>
          <cell r="F23">
            <v>60</v>
          </cell>
          <cell r="G23">
            <v>6</v>
          </cell>
          <cell r="H23">
            <v>90</v>
          </cell>
          <cell r="I23">
            <v>75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39</v>
          </cell>
          <cell r="F24">
            <v>60</v>
          </cell>
          <cell r="G24">
            <v>21</v>
          </cell>
          <cell r="H24">
            <v>65</v>
          </cell>
          <cell r="I24">
            <v>100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39</v>
          </cell>
          <cell r="F25">
            <v>60</v>
          </cell>
          <cell r="G25">
            <v>21</v>
          </cell>
          <cell r="H25">
            <v>65</v>
          </cell>
          <cell r="I25">
            <v>100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34</v>
          </cell>
          <cell r="F26">
            <v>60</v>
          </cell>
          <cell r="G26">
            <v>26</v>
          </cell>
          <cell r="H26">
            <v>57</v>
          </cell>
          <cell r="I26">
            <v>100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34</v>
          </cell>
          <cell r="F27">
            <v>60</v>
          </cell>
          <cell r="G27">
            <v>26</v>
          </cell>
          <cell r="H27">
            <v>57</v>
          </cell>
          <cell r="I27">
            <v>75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34</v>
          </cell>
          <cell r="F28">
            <v>60</v>
          </cell>
          <cell r="G28">
            <v>26</v>
          </cell>
          <cell r="H28">
            <v>57</v>
          </cell>
          <cell r="I28">
            <v>50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34</v>
          </cell>
          <cell r="F29">
            <v>60</v>
          </cell>
          <cell r="G29">
            <v>26</v>
          </cell>
          <cell r="H29">
            <v>57</v>
          </cell>
          <cell r="I29">
            <v>50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34</v>
          </cell>
          <cell r="F30">
            <v>60</v>
          </cell>
          <cell r="G30">
            <v>26</v>
          </cell>
          <cell r="H30">
            <v>57</v>
          </cell>
          <cell r="I30">
            <v>90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34</v>
          </cell>
          <cell r="F31">
            <v>120</v>
          </cell>
          <cell r="G31">
            <v>86</v>
          </cell>
          <cell r="H31">
            <v>28</v>
          </cell>
          <cell r="I31">
            <v>50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24</v>
          </cell>
          <cell r="F32">
            <v>60</v>
          </cell>
          <cell r="G32">
            <v>36</v>
          </cell>
          <cell r="H32">
            <v>40</v>
          </cell>
          <cell r="I32">
            <v>60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24</v>
          </cell>
          <cell r="F33">
            <v>60</v>
          </cell>
          <cell r="G33">
            <v>36</v>
          </cell>
          <cell r="H33">
            <v>40</v>
          </cell>
          <cell r="I33">
            <v>60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24</v>
          </cell>
          <cell r="F34">
            <v>60</v>
          </cell>
          <cell r="G34">
            <v>36</v>
          </cell>
          <cell r="H34">
            <v>40</v>
          </cell>
          <cell r="I34">
            <v>60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24</v>
          </cell>
          <cell r="F35">
            <v>60</v>
          </cell>
          <cell r="G35">
            <v>36</v>
          </cell>
          <cell r="H35">
            <v>40</v>
          </cell>
          <cell r="I35">
            <v>60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24</v>
          </cell>
          <cell r="F36">
            <v>60</v>
          </cell>
          <cell r="G36">
            <v>36</v>
          </cell>
          <cell r="H36">
            <v>40</v>
          </cell>
          <cell r="I36">
            <v>60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24</v>
          </cell>
          <cell r="F37">
            <v>84</v>
          </cell>
          <cell r="G37">
            <v>60</v>
          </cell>
          <cell r="H37">
            <v>29</v>
          </cell>
          <cell r="I37">
            <v>20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24</v>
          </cell>
          <cell r="F38">
            <v>84</v>
          </cell>
          <cell r="G38">
            <v>60</v>
          </cell>
          <cell r="H38">
            <v>29</v>
          </cell>
          <cell r="I38">
            <v>20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24</v>
          </cell>
          <cell r="F39">
            <v>84</v>
          </cell>
          <cell r="G39">
            <v>60</v>
          </cell>
          <cell r="H39">
            <v>29</v>
          </cell>
          <cell r="I39">
            <v>20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24</v>
          </cell>
          <cell r="F40">
            <v>84</v>
          </cell>
          <cell r="G40">
            <v>60</v>
          </cell>
          <cell r="H40">
            <v>29</v>
          </cell>
          <cell r="I40">
            <v>20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24</v>
          </cell>
          <cell r="F41">
            <v>84</v>
          </cell>
          <cell r="G41">
            <v>60</v>
          </cell>
          <cell r="H41">
            <v>29</v>
          </cell>
          <cell r="I41">
            <v>20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22</v>
          </cell>
          <cell r="F42">
            <v>60</v>
          </cell>
          <cell r="G42">
            <v>38</v>
          </cell>
          <cell r="H42">
            <v>37</v>
          </cell>
          <cell r="I42">
            <v>75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24</v>
          </cell>
          <cell r="F43">
            <v>60</v>
          </cell>
          <cell r="G43">
            <v>36</v>
          </cell>
          <cell r="H43">
            <v>40</v>
          </cell>
          <cell r="I43">
            <v>100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24</v>
          </cell>
          <cell r="F44">
            <v>60</v>
          </cell>
          <cell r="G44">
            <v>36</v>
          </cell>
          <cell r="H44">
            <v>40</v>
          </cell>
          <cell r="I44">
            <v>100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24</v>
          </cell>
          <cell r="F45">
            <v>60</v>
          </cell>
          <cell r="G45">
            <v>36</v>
          </cell>
          <cell r="H45">
            <v>40</v>
          </cell>
          <cell r="I45">
            <v>100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24</v>
          </cell>
          <cell r="F46">
            <v>60</v>
          </cell>
          <cell r="G46">
            <v>36</v>
          </cell>
          <cell r="H46">
            <v>40</v>
          </cell>
          <cell r="I46">
            <v>100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24</v>
          </cell>
          <cell r="F47">
            <v>60</v>
          </cell>
          <cell r="G47">
            <v>36</v>
          </cell>
          <cell r="H47">
            <v>40</v>
          </cell>
          <cell r="I47">
            <v>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24</v>
          </cell>
          <cell r="F48">
            <v>60</v>
          </cell>
          <cell r="G48">
            <v>36</v>
          </cell>
          <cell r="H48">
            <v>40</v>
          </cell>
          <cell r="I48">
            <v>75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24</v>
          </cell>
          <cell r="F49">
            <v>60</v>
          </cell>
          <cell r="G49">
            <v>36</v>
          </cell>
          <cell r="H49">
            <v>40</v>
          </cell>
          <cell r="I49">
            <v>75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24</v>
          </cell>
          <cell r="F50">
            <v>60</v>
          </cell>
          <cell r="G50">
            <v>36</v>
          </cell>
          <cell r="H50">
            <v>40</v>
          </cell>
          <cell r="I50">
            <v>75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24</v>
          </cell>
          <cell r="F51">
            <v>60</v>
          </cell>
          <cell r="G51">
            <v>36</v>
          </cell>
          <cell r="H51">
            <v>40</v>
          </cell>
          <cell r="I51">
            <v>75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22</v>
          </cell>
          <cell r="F52">
            <v>60</v>
          </cell>
          <cell r="G52">
            <v>38</v>
          </cell>
          <cell r="H52">
            <v>37</v>
          </cell>
          <cell r="I52">
            <v>75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24</v>
          </cell>
          <cell r="F53">
            <v>48</v>
          </cell>
          <cell r="G53">
            <v>24</v>
          </cell>
          <cell r="H53">
            <v>50</v>
          </cell>
          <cell r="I53">
            <v>100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24</v>
          </cell>
          <cell r="F54">
            <v>60</v>
          </cell>
          <cell r="G54">
            <v>36</v>
          </cell>
          <cell r="H54">
            <v>40</v>
          </cell>
          <cell r="I54">
            <v>75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24</v>
          </cell>
          <cell r="F55">
            <v>60</v>
          </cell>
          <cell r="G55">
            <v>36</v>
          </cell>
          <cell r="H55">
            <v>40</v>
          </cell>
          <cell r="I55">
            <v>75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24</v>
          </cell>
          <cell r="F56">
            <v>60</v>
          </cell>
          <cell r="G56">
            <v>36</v>
          </cell>
          <cell r="H56">
            <v>40</v>
          </cell>
          <cell r="I56">
            <v>75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24</v>
          </cell>
          <cell r="F57">
            <v>60</v>
          </cell>
          <cell r="G57">
            <v>36</v>
          </cell>
          <cell r="H57">
            <v>40</v>
          </cell>
          <cell r="I57">
            <v>75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24</v>
          </cell>
          <cell r="F58">
            <v>60</v>
          </cell>
          <cell r="G58">
            <v>36</v>
          </cell>
          <cell r="H58">
            <v>40</v>
          </cell>
          <cell r="I58">
            <v>75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24</v>
          </cell>
          <cell r="F59">
            <v>60</v>
          </cell>
          <cell r="G59">
            <v>36</v>
          </cell>
          <cell r="H59">
            <v>40</v>
          </cell>
          <cell r="I59">
            <v>75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24</v>
          </cell>
          <cell r="F60">
            <v>60</v>
          </cell>
          <cell r="G60">
            <v>36</v>
          </cell>
          <cell r="H60">
            <v>40</v>
          </cell>
          <cell r="I60">
            <v>75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24</v>
          </cell>
          <cell r="F61">
            <v>60</v>
          </cell>
          <cell r="G61">
            <v>36</v>
          </cell>
          <cell r="H61">
            <v>40</v>
          </cell>
          <cell r="I61">
            <v>75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24</v>
          </cell>
          <cell r="F62">
            <v>60</v>
          </cell>
          <cell r="G62">
            <v>36</v>
          </cell>
          <cell r="H62">
            <v>40</v>
          </cell>
          <cell r="I62">
            <v>75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24</v>
          </cell>
          <cell r="F63">
            <v>60</v>
          </cell>
          <cell r="G63">
            <v>36</v>
          </cell>
          <cell r="H63">
            <v>40</v>
          </cell>
          <cell r="I63">
            <v>75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24</v>
          </cell>
          <cell r="F64">
            <v>60</v>
          </cell>
          <cell r="G64">
            <v>36</v>
          </cell>
          <cell r="H64">
            <v>40</v>
          </cell>
          <cell r="I64">
            <v>75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24</v>
          </cell>
          <cell r="F65">
            <v>60</v>
          </cell>
          <cell r="G65">
            <v>36</v>
          </cell>
          <cell r="H65">
            <v>40</v>
          </cell>
          <cell r="I65">
            <v>75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24</v>
          </cell>
          <cell r="F66">
            <v>60</v>
          </cell>
          <cell r="G66">
            <v>36</v>
          </cell>
          <cell r="H66">
            <v>40</v>
          </cell>
          <cell r="I66">
            <v>75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24</v>
          </cell>
          <cell r="F67">
            <v>60</v>
          </cell>
          <cell r="G67">
            <v>36</v>
          </cell>
          <cell r="H67">
            <v>40</v>
          </cell>
          <cell r="I67">
            <v>75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22</v>
          </cell>
          <cell r="F68">
            <v>36</v>
          </cell>
          <cell r="G68">
            <v>14</v>
          </cell>
          <cell r="H68">
            <v>61</v>
          </cell>
          <cell r="I68">
            <v>75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22</v>
          </cell>
          <cell r="F69">
            <v>60</v>
          </cell>
          <cell r="G69">
            <v>38</v>
          </cell>
          <cell r="H69">
            <v>37</v>
          </cell>
          <cell r="I69">
            <v>75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22</v>
          </cell>
          <cell r="F70">
            <v>60</v>
          </cell>
          <cell r="G70">
            <v>38</v>
          </cell>
          <cell r="H70">
            <v>37</v>
          </cell>
          <cell r="I70">
            <v>75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20</v>
          </cell>
          <cell r="F71">
            <v>60</v>
          </cell>
          <cell r="G71">
            <v>40</v>
          </cell>
          <cell r="H71">
            <v>33</v>
          </cell>
          <cell r="I71">
            <v>60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20</v>
          </cell>
          <cell r="F72">
            <v>60</v>
          </cell>
          <cell r="G72">
            <v>40</v>
          </cell>
          <cell r="H72">
            <v>33</v>
          </cell>
          <cell r="I72">
            <v>75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20</v>
          </cell>
          <cell r="F73">
            <v>60</v>
          </cell>
          <cell r="G73">
            <v>40</v>
          </cell>
          <cell r="H73">
            <v>33</v>
          </cell>
          <cell r="I73">
            <v>100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18</v>
          </cell>
          <cell r="F74">
            <v>60</v>
          </cell>
          <cell r="G74">
            <v>42</v>
          </cell>
          <cell r="H74">
            <v>30</v>
          </cell>
          <cell r="I74">
            <v>30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14</v>
          </cell>
          <cell r="F75">
            <v>60</v>
          </cell>
          <cell r="G75">
            <v>46</v>
          </cell>
          <cell r="H75">
            <v>23</v>
          </cell>
          <cell r="I75">
            <v>30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9</v>
          </cell>
          <cell r="F76">
            <v>60</v>
          </cell>
          <cell r="G76">
            <v>51</v>
          </cell>
          <cell r="H76">
            <v>15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9</v>
          </cell>
          <cell r="F77">
            <v>84</v>
          </cell>
          <cell r="G77">
            <v>75</v>
          </cell>
          <cell r="H77">
            <v>11</v>
          </cell>
          <cell r="I77">
            <v>100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9</v>
          </cell>
          <cell r="F78">
            <v>84</v>
          </cell>
          <cell r="G78">
            <v>75</v>
          </cell>
          <cell r="H78">
            <v>11</v>
          </cell>
          <cell r="I78">
            <v>100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9</v>
          </cell>
          <cell r="F79">
            <v>84</v>
          </cell>
          <cell r="G79">
            <v>75</v>
          </cell>
          <cell r="H79">
            <v>11</v>
          </cell>
          <cell r="I79">
            <v>100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9</v>
          </cell>
          <cell r="F83">
            <v>84</v>
          </cell>
          <cell r="G83">
            <v>75</v>
          </cell>
          <cell r="H83">
            <v>11</v>
          </cell>
          <cell r="I83">
            <v>5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9</v>
          </cell>
          <cell r="F84">
            <v>84</v>
          </cell>
          <cell r="G84">
            <v>75</v>
          </cell>
          <cell r="H84">
            <v>11</v>
          </cell>
          <cell r="I84">
            <v>5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9</v>
          </cell>
          <cell r="F85">
            <v>84</v>
          </cell>
          <cell r="G85">
            <v>75</v>
          </cell>
          <cell r="H85">
            <v>11</v>
          </cell>
          <cell r="I85">
            <v>5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8</v>
          </cell>
          <cell r="F86">
            <v>60</v>
          </cell>
          <cell r="G86">
            <v>52</v>
          </cell>
          <cell r="H86">
            <v>13</v>
          </cell>
          <cell r="I86">
            <v>10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5</v>
          </cell>
          <cell r="F87">
            <v>60</v>
          </cell>
          <cell r="G87">
            <v>55</v>
          </cell>
          <cell r="H87">
            <v>8</v>
          </cell>
          <cell r="I87">
            <v>10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4</v>
          </cell>
          <cell r="F88">
            <v>60</v>
          </cell>
          <cell r="G88">
            <v>56</v>
          </cell>
          <cell r="H88">
            <v>7</v>
          </cell>
          <cell r="I88">
            <v>10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4</v>
          </cell>
          <cell r="F89">
            <v>60</v>
          </cell>
          <cell r="G89">
            <v>56</v>
          </cell>
          <cell r="H89">
            <v>7</v>
          </cell>
          <cell r="I89">
            <v>10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5</v>
          </cell>
          <cell r="F90">
            <v>60</v>
          </cell>
          <cell r="G90">
            <v>55</v>
          </cell>
          <cell r="H90">
            <v>8</v>
          </cell>
          <cell r="I90">
            <v>10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60</v>
          </cell>
          <cell r="F91">
            <v>260</v>
          </cell>
          <cell r="G91">
            <v>200</v>
          </cell>
          <cell r="H91">
            <v>23</v>
          </cell>
          <cell r="I91">
            <v>50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24</v>
          </cell>
          <cell r="F92">
            <v>84</v>
          </cell>
          <cell r="G92">
            <v>60</v>
          </cell>
          <cell r="H92">
            <v>29</v>
          </cell>
          <cell r="I92">
            <v>30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20</v>
          </cell>
          <cell r="F93">
            <v>260</v>
          </cell>
          <cell r="G93">
            <v>240</v>
          </cell>
          <cell r="H93">
            <v>8</v>
          </cell>
          <cell r="I93">
            <v>30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20</v>
          </cell>
          <cell r="F94">
            <v>84</v>
          </cell>
          <cell r="G94">
            <v>64</v>
          </cell>
          <cell r="H94">
            <v>24</v>
          </cell>
          <cell r="I94">
            <v>30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9</v>
          </cell>
          <cell r="F95">
            <v>24</v>
          </cell>
          <cell r="G95">
            <v>15</v>
          </cell>
          <cell r="H95">
            <v>38</v>
          </cell>
          <cell r="I95">
            <v>5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8</v>
          </cell>
          <cell r="F96">
            <v>260</v>
          </cell>
          <cell r="G96">
            <v>252</v>
          </cell>
          <cell r="H96">
            <v>3</v>
          </cell>
          <cell r="I96">
            <v>5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8</v>
          </cell>
          <cell r="F97">
            <v>260</v>
          </cell>
          <cell r="G97">
            <v>252</v>
          </cell>
          <cell r="H97">
            <v>3</v>
          </cell>
          <cell r="I97">
            <v>5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8</v>
          </cell>
          <cell r="F98">
            <v>260</v>
          </cell>
          <cell r="G98">
            <v>252</v>
          </cell>
          <cell r="H98">
            <v>3</v>
          </cell>
          <cell r="I98">
            <v>5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8</v>
          </cell>
          <cell r="F99">
            <v>260</v>
          </cell>
          <cell r="G99">
            <v>252</v>
          </cell>
          <cell r="H99">
            <v>3</v>
          </cell>
          <cell r="I99">
            <v>5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8</v>
          </cell>
          <cell r="F100">
            <v>260</v>
          </cell>
          <cell r="G100">
            <v>252</v>
          </cell>
          <cell r="H100">
            <v>3</v>
          </cell>
          <cell r="I100">
            <v>5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14</v>
          </cell>
          <cell r="F101">
            <v>60</v>
          </cell>
          <cell r="G101">
            <v>46</v>
          </cell>
          <cell r="H101">
            <v>23</v>
          </cell>
          <cell r="I101">
            <v>15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2</v>
          </cell>
          <cell r="F102">
            <v>24</v>
          </cell>
          <cell r="G102">
            <v>22</v>
          </cell>
          <cell r="H102">
            <v>8</v>
          </cell>
          <cell r="I102">
            <v>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29</v>
          </cell>
          <cell r="F103">
            <v>72</v>
          </cell>
          <cell r="G103">
            <v>43</v>
          </cell>
          <cell r="H103">
            <v>40</v>
          </cell>
          <cell r="I103">
            <v>50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54</v>
          </cell>
          <cell r="F104">
            <v>60</v>
          </cell>
          <cell r="G104">
            <v>6</v>
          </cell>
          <cell r="H104">
            <v>90</v>
          </cell>
          <cell r="I104">
            <v>75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49</v>
          </cell>
          <cell r="F105">
            <v>60</v>
          </cell>
          <cell r="G105">
            <v>11</v>
          </cell>
          <cell r="H105">
            <v>82</v>
          </cell>
          <cell r="I105">
            <v>75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5</v>
          </cell>
          <cell r="F106">
            <v>60</v>
          </cell>
          <cell r="G106">
            <v>55</v>
          </cell>
          <cell r="H106">
            <v>8</v>
          </cell>
          <cell r="I106">
            <v>1000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5</v>
          </cell>
          <cell r="F107">
            <v>60</v>
          </cell>
          <cell r="G107">
            <v>55</v>
          </cell>
          <cell r="H107">
            <v>8</v>
          </cell>
          <cell r="I107">
            <v>1000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3</v>
          </cell>
          <cell r="F108">
            <v>84</v>
          </cell>
          <cell r="G108">
            <v>81</v>
          </cell>
          <cell r="H108">
            <v>4</v>
          </cell>
          <cell r="I108">
            <v>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3</v>
          </cell>
          <cell r="F109">
            <v>84</v>
          </cell>
          <cell r="G109">
            <v>81</v>
          </cell>
          <cell r="H109">
            <v>4</v>
          </cell>
          <cell r="I109">
            <v>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3</v>
          </cell>
          <cell r="F110">
            <v>84</v>
          </cell>
          <cell r="G110">
            <v>81</v>
          </cell>
          <cell r="H110">
            <v>4</v>
          </cell>
          <cell r="I110">
            <v>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15</v>
          </cell>
          <cell r="F111">
            <v>60</v>
          </cell>
          <cell r="G111">
            <v>45</v>
          </cell>
          <cell r="H111">
            <v>25</v>
          </cell>
          <cell r="I111">
            <v>30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15</v>
          </cell>
          <cell r="F112">
            <v>60</v>
          </cell>
          <cell r="G112">
            <v>45</v>
          </cell>
          <cell r="H112">
            <v>25</v>
          </cell>
          <cell r="I112">
            <v>30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15</v>
          </cell>
          <cell r="F113">
            <v>60</v>
          </cell>
          <cell r="G113">
            <v>45</v>
          </cell>
          <cell r="H113">
            <v>25</v>
          </cell>
          <cell r="I113">
            <v>30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15</v>
          </cell>
          <cell r="F114">
            <v>60</v>
          </cell>
          <cell r="G114">
            <v>45</v>
          </cell>
          <cell r="H114">
            <v>25</v>
          </cell>
          <cell r="I114">
            <v>30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15</v>
          </cell>
          <cell r="F115">
            <v>60</v>
          </cell>
          <cell r="G115">
            <v>45</v>
          </cell>
          <cell r="H115">
            <v>25</v>
          </cell>
          <cell r="I115">
            <v>30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15</v>
          </cell>
          <cell r="F116">
            <v>60</v>
          </cell>
          <cell r="G116">
            <v>45</v>
          </cell>
          <cell r="H116">
            <v>25</v>
          </cell>
          <cell r="I116">
            <v>30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15</v>
          </cell>
          <cell r="F117">
            <v>60</v>
          </cell>
          <cell r="G117">
            <v>45</v>
          </cell>
          <cell r="H117">
            <v>25</v>
          </cell>
          <cell r="I117">
            <v>30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15</v>
          </cell>
          <cell r="F118">
            <v>60</v>
          </cell>
          <cell r="G118">
            <v>45</v>
          </cell>
          <cell r="H118">
            <v>25</v>
          </cell>
          <cell r="I118">
            <v>30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15</v>
          </cell>
          <cell r="F119">
            <v>60</v>
          </cell>
          <cell r="G119">
            <v>45</v>
          </cell>
          <cell r="H119">
            <v>25</v>
          </cell>
          <cell r="I119">
            <v>30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15</v>
          </cell>
          <cell r="F120">
            <v>60</v>
          </cell>
          <cell r="G120">
            <v>45</v>
          </cell>
          <cell r="H120">
            <v>25</v>
          </cell>
          <cell r="I120">
            <v>30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4</v>
          </cell>
          <cell r="F121">
            <v>60</v>
          </cell>
          <cell r="G121">
            <v>56</v>
          </cell>
          <cell r="H121">
            <v>7</v>
          </cell>
          <cell r="I121">
            <v>10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4</v>
          </cell>
          <cell r="F122">
            <v>60</v>
          </cell>
          <cell r="G122">
            <v>56</v>
          </cell>
          <cell r="H122">
            <v>7</v>
          </cell>
          <cell r="I122">
            <v>10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4</v>
          </cell>
          <cell r="F123">
            <v>60</v>
          </cell>
          <cell r="G123">
            <v>56</v>
          </cell>
          <cell r="H123">
            <v>7</v>
          </cell>
          <cell r="I123">
            <v>10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4</v>
          </cell>
          <cell r="F124">
            <v>60</v>
          </cell>
          <cell r="G124">
            <v>56</v>
          </cell>
          <cell r="H124">
            <v>7</v>
          </cell>
          <cell r="I124">
            <v>10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4</v>
          </cell>
          <cell r="F125">
            <v>60</v>
          </cell>
          <cell r="G125">
            <v>56</v>
          </cell>
          <cell r="H125">
            <v>7</v>
          </cell>
          <cell r="I125">
            <v>10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4</v>
          </cell>
          <cell r="F126">
            <v>60</v>
          </cell>
          <cell r="G126">
            <v>56</v>
          </cell>
          <cell r="H126">
            <v>7</v>
          </cell>
          <cell r="I126">
            <v>10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4</v>
          </cell>
          <cell r="F127">
            <v>60</v>
          </cell>
          <cell r="G127">
            <v>56</v>
          </cell>
          <cell r="H127">
            <v>7</v>
          </cell>
          <cell r="I127">
            <v>10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63</v>
          </cell>
          <cell r="F128">
            <v>60</v>
          </cell>
          <cell r="G128">
            <v>0</v>
          </cell>
          <cell r="H128">
            <v>97</v>
          </cell>
          <cell r="I128">
            <v>100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63</v>
          </cell>
          <cell r="F129">
            <v>60</v>
          </cell>
          <cell r="G129">
            <v>0</v>
          </cell>
          <cell r="H129">
            <v>97</v>
          </cell>
          <cell r="I129">
            <v>100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63</v>
          </cell>
          <cell r="F130">
            <v>60</v>
          </cell>
          <cell r="G130">
            <v>0</v>
          </cell>
          <cell r="H130">
            <v>97</v>
          </cell>
          <cell r="I130">
            <v>100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9</v>
          </cell>
          <cell r="F131">
            <v>60</v>
          </cell>
          <cell r="G131">
            <v>51</v>
          </cell>
          <cell r="H131">
            <v>15</v>
          </cell>
          <cell r="I131">
            <v>100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56</v>
          </cell>
          <cell r="F132">
            <v>60</v>
          </cell>
          <cell r="G132">
            <v>4</v>
          </cell>
          <cell r="H132">
            <v>93</v>
          </cell>
          <cell r="I132">
            <v>100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49</v>
          </cell>
          <cell r="F133">
            <v>60</v>
          </cell>
          <cell r="G133">
            <v>11</v>
          </cell>
          <cell r="H133">
            <v>82</v>
          </cell>
          <cell r="I133">
            <v>100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24</v>
          </cell>
          <cell r="F134">
            <v>60</v>
          </cell>
          <cell r="G134">
            <v>36</v>
          </cell>
          <cell r="H134">
            <v>40</v>
          </cell>
          <cell r="I134">
            <v>30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20</v>
          </cell>
          <cell r="F135">
            <v>60</v>
          </cell>
          <cell r="G135">
            <v>40</v>
          </cell>
          <cell r="H135">
            <v>33</v>
          </cell>
          <cell r="I135">
            <v>100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20</v>
          </cell>
          <cell r="F136">
            <v>60</v>
          </cell>
          <cell r="G136">
            <v>40</v>
          </cell>
          <cell r="H136">
            <v>33</v>
          </cell>
          <cell r="I136">
            <v>75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62</v>
          </cell>
          <cell r="F137">
            <v>84</v>
          </cell>
          <cell r="G137">
            <v>22</v>
          </cell>
          <cell r="H137">
            <v>74</v>
          </cell>
          <cell r="I137">
            <v>60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36</v>
          </cell>
          <cell r="F138">
            <v>60</v>
          </cell>
          <cell r="G138">
            <v>24</v>
          </cell>
          <cell r="H138">
            <v>60</v>
          </cell>
          <cell r="I138">
            <v>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14</v>
          </cell>
          <cell r="F139">
            <v>60</v>
          </cell>
          <cell r="G139">
            <v>46</v>
          </cell>
          <cell r="H139">
            <v>23</v>
          </cell>
          <cell r="I139">
            <v>30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55</v>
          </cell>
          <cell r="F140">
            <v>60</v>
          </cell>
          <cell r="G140">
            <v>5</v>
          </cell>
          <cell r="H140">
            <v>92</v>
          </cell>
          <cell r="I140">
            <v>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55</v>
          </cell>
          <cell r="F141">
            <v>60</v>
          </cell>
          <cell r="G141">
            <v>5</v>
          </cell>
          <cell r="H141">
            <v>92</v>
          </cell>
          <cell r="I141">
            <v>75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55</v>
          </cell>
          <cell r="F142">
            <v>60</v>
          </cell>
          <cell r="G142">
            <v>5</v>
          </cell>
          <cell r="H142">
            <v>92</v>
          </cell>
          <cell r="I142">
            <v>75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55</v>
          </cell>
          <cell r="F143">
            <v>60</v>
          </cell>
          <cell r="G143">
            <v>5</v>
          </cell>
          <cell r="H143">
            <v>92</v>
          </cell>
          <cell r="I143">
            <v>75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55</v>
          </cell>
          <cell r="F144">
            <v>60</v>
          </cell>
          <cell r="G144">
            <v>5</v>
          </cell>
          <cell r="H144">
            <v>92</v>
          </cell>
          <cell r="I144">
            <v>75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55</v>
          </cell>
          <cell r="F145">
            <v>60</v>
          </cell>
          <cell r="G145">
            <v>5</v>
          </cell>
          <cell r="H145">
            <v>92</v>
          </cell>
          <cell r="I145">
            <v>75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55</v>
          </cell>
          <cell r="F146">
            <v>60</v>
          </cell>
          <cell r="G146">
            <v>5</v>
          </cell>
          <cell r="H146">
            <v>92</v>
          </cell>
          <cell r="I146">
            <v>75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54</v>
          </cell>
          <cell r="F147">
            <v>60</v>
          </cell>
          <cell r="G147">
            <v>6</v>
          </cell>
          <cell r="H147">
            <v>90</v>
          </cell>
          <cell r="I147">
            <v>75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53</v>
          </cell>
          <cell r="F148">
            <v>60</v>
          </cell>
          <cell r="G148">
            <v>7</v>
          </cell>
          <cell r="H148">
            <v>88</v>
          </cell>
          <cell r="I148">
            <v>75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53</v>
          </cell>
          <cell r="F149">
            <v>60</v>
          </cell>
          <cell r="G149">
            <v>7</v>
          </cell>
          <cell r="H149">
            <v>88</v>
          </cell>
          <cell r="I149">
            <v>60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52</v>
          </cell>
          <cell r="F150">
            <v>60</v>
          </cell>
          <cell r="G150">
            <v>8</v>
          </cell>
          <cell r="H150">
            <v>87</v>
          </cell>
          <cell r="I150">
            <v>75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49</v>
          </cell>
          <cell r="F151">
            <v>60</v>
          </cell>
          <cell r="G151">
            <v>11</v>
          </cell>
          <cell r="H151">
            <v>82</v>
          </cell>
          <cell r="I151">
            <v>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49</v>
          </cell>
          <cell r="F152">
            <v>60</v>
          </cell>
          <cell r="G152">
            <v>11</v>
          </cell>
          <cell r="H152">
            <v>82</v>
          </cell>
          <cell r="I152">
            <v>75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49</v>
          </cell>
          <cell r="F153">
            <v>60</v>
          </cell>
          <cell r="G153">
            <v>11</v>
          </cell>
          <cell r="H153">
            <v>82</v>
          </cell>
          <cell r="I153">
            <v>60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39</v>
          </cell>
          <cell r="F154">
            <v>60</v>
          </cell>
          <cell r="G154">
            <v>21</v>
          </cell>
          <cell r="H154">
            <v>65</v>
          </cell>
          <cell r="I154">
            <v>100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34</v>
          </cell>
          <cell r="F155">
            <v>60</v>
          </cell>
          <cell r="G155">
            <v>26</v>
          </cell>
          <cell r="H155">
            <v>57</v>
          </cell>
          <cell r="I155">
            <v>65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34</v>
          </cell>
          <cell r="F156">
            <v>60</v>
          </cell>
          <cell r="G156">
            <v>26</v>
          </cell>
          <cell r="H156">
            <v>57</v>
          </cell>
          <cell r="I156">
            <v>65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34</v>
          </cell>
          <cell r="F157">
            <v>60</v>
          </cell>
          <cell r="G157">
            <v>26</v>
          </cell>
          <cell r="H157">
            <v>57</v>
          </cell>
          <cell r="I157">
            <v>65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34</v>
          </cell>
          <cell r="F158">
            <v>60</v>
          </cell>
          <cell r="G158">
            <v>26</v>
          </cell>
          <cell r="H158">
            <v>57</v>
          </cell>
          <cell r="I158">
            <v>65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24</v>
          </cell>
          <cell r="F159">
            <v>60</v>
          </cell>
          <cell r="G159">
            <v>36</v>
          </cell>
          <cell r="H159">
            <v>40</v>
          </cell>
          <cell r="I159">
            <v>50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24</v>
          </cell>
          <cell r="F160">
            <v>60</v>
          </cell>
          <cell r="G160">
            <v>36</v>
          </cell>
          <cell r="H160">
            <v>40</v>
          </cell>
          <cell r="I160">
            <v>10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24</v>
          </cell>
          <cell r="F161">
            <v>60</v>
          </cell>
          <cell r="G161">
            <v>36</v>
          </cell>
          <cell r="H161">
            <v>40</v>
          </cell>
          <cell r="I161">
            <v>50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23</v>
          </cell>
          <cell r="F162">
            <v>60</v>
          </cell>
          <cell r="G162">
            <v>37</v>
          </cell>
          <cell r="H162">
            <v>38</v>
          </cell>
          <cell r="I162">
            <v>50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22</v>
          </cell>
          <cell r="F163">
            <v>60</v>
          </cell>
          <cell r="G163">
            <v>38</v>
          </cell>
          <cell r="H163">
            <v>37</v>
          </cell>
          <cell r="I163">
            <v>60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22</v>
          </cell>
          <cell r="F164">
            <v>60</v>
          </cell>
          <cell r="G164">
            <v>38</v>
          </cell>
          <cell r="H164">
            <v>37</v>
          </cell>
          <cell r="I164">
            <v>75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22</v>
          </cell>
          <cell r="F165">
            <v>60</v>
          </cell>
          <cell r="G165">
            <v>38</v>
          </cell>
          <cell r="H165">
            <v>37</v>
          </cell>
          <cell r="I165">
            <v>60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21</v>
          </cell>
          <cell r="F166">
            <v>60</v>
          </cell>
          <cell r="G166">
            <v>39</v>
          </cell>
          <cell r="H166">
            <v>35</v>
          </cell>
          <cell r="I166">
            <v>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13</v>
          </cell>
          <cell r="F167">
            <v>60</v>
          </cell>
          <cell r="G167">
            <v>47</v>
          </cell>
          <cell r="H167">
            <v>22</v>
          </cell>
          <cell r="I167">
            <v>30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13</v>
          </cell>
          <cell r="F168">
            <v>60</v>
          </cell>
          <cell r="G168">
            <v>47</v>
          </cell>
          <cell r="H168">
            <v>22</v>
          </cell>
          <cell r="I168">
            <v>30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12</v>
          </cell>
          <cell r="F169">
            <v>60</v>
          </cell>
          <cell r="G169">
            <v>48</v>
          </cell>
          <cell r="H169">
            <v>20</v>
          </cell>
          <cell r="I169">
            <v>30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12</v>
          </cell>
          <cell r="F170">
            <v>60</v>
          </cell>
          <cell r="G170">
            <v>48</v>
          </cell>
          <cell r="H170">
            <v>20</v>
          </cell>
          <cell r="I170">
            <v>30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11</v>
          </cell>
          <cell r="F171">
            <v>60</v>
          </cell>
          <cell r="G171">
            <v>49</v>
          </cell>
          <cell r="H171">
            <v>18</v>
          </cell>
          <cell r="I171">
            <v>75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11</v>
          </cell>
          <cell r="F172">
            <v>60</v>
          </cell>
          <cell r="G172">
            <v>49</v>
          </cell>
          <cell r="H172">
            <v>18</v>
          </cell>
          <cell r="I172">
            <v>65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9</v>
          </cell>
          <cell r="F173">
            <v>60</v>
          </cell>
          <cell r="G173">
            <v>51</v>
          </cell>
          <cell r="H173">
            <v>15</v>
          </cell>
          <cell r="I173">
            <v>10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9</v>
          </cell>
          <cell r="F174">
            <v>60</v>
          </cell>
          <cell r="G174">
            <v>51</v>
          </cell>
          <cell r="H174">
            <v>15</v>
          </cell>
          <cell r="I174">
            <v>10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9</v>
          </cell>
          <cell r="F175">
            <v>60</v>
          </cell>
          <cell r="G175">
            <v>51</v>
          </cell>
          <cell r="H175">
            <v>15</v>
          </cell>
          <cell r="I175">
            <v>10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9</v>
          </cell>
          <cell r="F176">
            <v>60</v>
          </cell>
          <cell r="G176">
            <v>51</v>
          </cell>
          <cell r="H176">
            <v>15</v>
          </cell>
          <cell r="I176">
            <v>10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9</v>
          </cell>
          <cell r="F177">
            <v>60</v>
          </cell>
          <cell r="G177">
            <v>51</v>
          </cell>
          <cell r="H177">
            <v>15</v>
          </cell>
          <cell r="I177">
            <v>10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9</v>
          </cell>
          <cell r="F178">
            <v>60</v>
          </cell>
          <cell r="G178">
            <v>51</v>
          </cell>
          <cell r="H178">
            <v>15</v>
          </cell>
          <cell r="I178">
            <v>10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9</v>
          </cell>
          <cell r="F179">
            <v>60</v>
          </cell>
          <cell r="G179">
            <v>51</v>
          </cell>
          <cell r="H179">
            <v>15</v>
          </cell>
          <cell r="I179">
            <v>10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9</v>
          </cell>
          <cell r="F180">
            <v>60</v>
          </cell>
          <cell r="G180">
            <v>51</v>
          </cell>
          <cell r="H180">
            <v>15</v>
          </cell>
          <cell r="I180">
            <v>10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8</v>
          </cell>
          <cell r="F181">
            <v>60</v>
          </cell>
          <cell r="G181">
            <v>52</v>
          </cell>
          <cell r="H181">
            <v>13</v>
          </cell>
          <cell r="I181">
            <v>10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8</v>
          </cell>
          <cell r="F182">
            <v>60</v>
          </cell>
          <cell r="G182">
            <v>52</v>
          </cell>
          <cell r="H182">
            <v>13</v>
          </cell>
          <cell r="I182">
            <v>10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4</v>
          </cell>
          <cell r="F183">
            <v>60</v>
          </cell>
          <cell r="G183">
            <v>56</v>
          </cell>
          <cell r="H183">
            <v>7</v>
          </cell>
          <cell r="I183">
            <v>10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4</v>
          </cell>
          <cell r="F184">
            <v>60</v>
          </cell>
          <cell r="G184">
            <v>56</v>
          </cell>
          <cell r="H184">
            <v>7</v>
          </cell>
          <cell r="I184">
            <v>10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4</v>
          </cell>
          <cell r="F185">
            <v>60</v>
          </cell>
          <cell r="G185">
            <v>56</v>
          </cell>
          <cell r="H185">
            <v>7</v>
          </cell>
          <cell r="I185">
            <v>10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4</v>
          </cell>
          <cell r="F186">
            <v>60</v>
          </cell>
          <cell r="G186">
            <v>56</v>
          </cell>
          <cell r="H186">
            <v>7</v>
          </cell>
          <cell r="I186">
            <v>10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4</v>
          </cell>
          <cell r="F187">
            <v>60</v>
          </cell>
          <cell r="G187">
            <v>56</v>
          </cell>
          <cell r="H187">
            <v>7</v>
          </cell>
          <cell r="I187">
            <v>10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4</v>
          </cell>
          <cell r="F188">
            <v>60</v>
          </cell>
          <cell r="G188">
            <v>56</v>
          </cell>
          <cell r="H188">
            <v>7</v>
          </cell>
          <cell r="I188">
            <v>10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4</v>
          </cell>
          <cell r="F189">
            <v>60</v>
          </cell>
          <cell r="G189">
            <v>56</v>
          </cell>
          <cell r="H189">
            <v>7</v>
          </cell>
          <cell r="I189">
            <v>10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4</v>
          </cell>
          <cell r="F190">
            <v>84</v>
          </cell>
          <cell r="G190">
            <v>80</v>
          </cell>
          <cell r="H190">
            <v>5</v>
          </cell>
          <cell r="I190">
            <v>10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24</v>
          </cell>
          <cell r="F191">
            <v>60</v>
          </cell>
          <cell r="G191">
            <v>36</v>
          </cell>
          <cell r="H191">
            <v>40</v>
          </cell>
          <cell r="I191">
            <v>40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24</v>
          </cell>
          <cell r="F192">
            <v>60</v>
          </cell>
          <cell r="G192">
            <v>36</v>
          </cell>
          <cell r="H192">
            <v>40</v>
          </cell>
          <cell r="I192">
            <v>60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3</v>
          </cell>
          <cell r="F193">
            <v>60</v>
          </cell>
          <cell r="G193">
            <v>57</v>
          </cell>
          <cell r="H193">
            <v>5</v>
          </cell>
          <cell r="I193">
            <v>10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47</v>
          </cell>
          <cell r="F194">
            <v>84</v>
          </cell>
          <cell r="G194">
            <v>37</v>
          </cell>
          <cell r="H194">
            <v>56</v>
          </cell>
          <cell r="I194">
            <v>100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47</v>
          </cell>
          <cell r="F195">
            <v>84</v>
          </cell>
          <cell r="G195">
            <v>37</v>
          </cell>
          <cell r="H195">
            <v>56</v>
          </cell>
          <cell r="I195">
            <v>100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47</v>
          </cell>
          <cell r="F196">
            <v>84</v>
          </cell>
          <cell r="G196">
            <v>37</v>
          </cell>
          <cell r="H196">
            <v>56</v>
          </cell>
          <cell r="I196">
            <v>100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47</v>
          </cell>
          <cell r="F197">
            <v>84</v>
          </cell>
          <cell r="G197">
            <v>37</v>
          </cell>
          <cell r="H197">
            <v>56</v>
          </cell>
          <cell r="I197">
            <v>100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45</v>
          </cell>
          <cell r="F198">
            <v>260</v>
          </cell>
          <cell r="G198">
            <v>215</v>
          </cell>
          <cell r="H198">
            <v>17</v>
          </cell>
          <cell r="I198">
            <v>75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65</v>
          </cell>
          <cell r="F199">
            <v>60</v>
          </cell>
          <cell r="G199">
            <v>0</v>
          </cell>
          <cell r="H199">
            <v>97</v>
          </cell>
          <cell r="I199">
            <v>75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60</v>
          </cell>
          <cell r="F200">
            <v>36</v>
          </cell>
          <cell r="G200">
            <v>0</v>
          </cell>
          <cell r="H200">
            <v>97</v>
          </cell>
          <cell r="I200">
            <v>75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60</v>
          </cell>
          <cell r="F201">
            <v>36</v>
          </cell>
          <cell r="G201">
            <v>0</v>
          </cell>
          <cell r="H201">
            <v>97</v>
          </cell>
          <cell r="I201">
            <v>75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60</v>
          </cell>
          <cell r="F202">
            <v>60</v>
          </cell>
          <cell r="G202">
            <v>0</v>
          </cell>
          <cell r="H202">
            <v>97</v>
          </cell>
          <cell r="I202">
            <v>100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60</v>
          </cell>
          <cell r="F203">
            <v>60</v>
          </cell>
          <cell r="G203">
            <v>0</v>
          </cell>
          <cell r="H203">
            <v>97</v>
          </cell>
          <cell r="I203">
            <v>100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57</v>
          </cell>
          <cell r="F204">
            <v>60</v>
          </cell>
          <cell r="G204">
            <v>3</v>
          </cell>
          <cell r="H204">
            <v>95</v>
          </cell>
          <cell r="I204">
            <v>75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57</v>
          </cell>
          <cell r="F205">
            <v>60</v>
          </cell>
          <cell r="G205">
            <v>3</v>
          </cell>
          <cell r="H205">
            <v>95</v>
          </cell>
          <cell r="I205">
            <v>75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54</v>
          </cell>
          <cell r="F206">
            <v>60</v>
          </cell>
          <cell r="G206">
            <v>6</v>
          </cell>
          <cell r="H206">
            <v>90</v>
          </cell>
          <cell r="I206">
            <v>75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50</v>
          </cell>
          <cell r="F207">
            <v>60</v>
          </cell>
          <cell r="G207">
            <v>10</v>
          </cell>
          <cell r="H207">
            <v>83</v>
          </cell>
          <cell r="I207">
            <v>60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39</v>
          </cell>
          <cell r="F208">
            <v>60</v>
          </cell>
          <cell r="G208">
            <v>21</v>
          </cell>
          <cell r="H208">
            <v>65</v>
          </cell>
          <cell r="I208">
            <v>100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34</v>
          </cell>
          <cell r="F209">
            <v>60</v>
          </cell>
          <cell r="G209">
            <v>26</v>
          </cell>
          <cell r="H209">
            <v>57</v>
          </cell>
          <cell r="I209">
            <v>60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24</v>
          </cell>
          <cell r="F210">
            <v>60</v>
          </cell>
          <cell r="G210">
            <v>36</v>
          </cell>
          <cell r="H210">
            <v>40</v>
          </cell>
          <cell r="I210">
            <v>60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24</v>
          </cell>
          <cell r="F211">
            <v>60</v>
          </cell>
          <cell r="G211">
            <v>36</v>
          </cell>
          <cell r="H211">
            <v>40</v>
          </cell>
          <cell r="I211">
            <v>60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20</v>
          </cell>
          <cell r="F212">
            <v>60</v>
          </cell>
          <cell r="G212">
            <v>40</v>
          </cell>
          <cell r="H212">
            <v>33</v>
          </cell>
          <cell r="I212">
            <v>60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20</v>
          </cell>
          <cell r="F213">
            <v>60</v>
          </cell>
          <cell r="G213">
            <v>40</v>
          </cell>
          <cell r="H213">
            <v>33</v>
          </cell>
          <cell r="I213">
            <v>60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20</v>
          </cell>
          <cell r="F214">
            <v>60</v>
          </cell>
          <cell r="G214">
            <v>40</v>
          </cell>
          <cell r="H214">
            <v>33</v>
          </cell>
          <cell r="I214">
            <v>60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32</v>
          </cell>
          <cell r="F215">
            <v>260</v>
          </cell>
          <cell r="G215">
            <v>228</v>
          </cell>
          <cell r="H215">
            <v>12</v>
          </cell>
          <cell r="I215">
            <v>50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4</v>
          </cell>
          <cell r="F216">
            <v>60</v>
          </cell>
          <cell r="G216">
            <v>56</v>
          </cell>
          <cell r="H216">
            <v>7</v>
          </cell>
          <cell r="I216">
            <v>10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4</v>
          </cell>
          <cell r="F217">
            <v>60</v>
          </cell>
          <cell r="G217">
            <v>56</v>
          </cell>
          <cell r="H217">
            <v>7</v>
          </cell>
          <cell r="I217">
            <v>10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4</v>
          </cell>
          <cell r="F218">
            <v>60</v>
          </cell>
          <cell r="G218">
            <v>56</v>
          </cell>
          <cell r="H218">
            <v>7</v>
          </cell>
          <cell r="I218">
            <v>10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4</v>
          </cell>
          <cell r="F219">
            <v>60</v>
          </cell>
          <cell r="G219">
            <v>56</v>
          </cell>
          <cell r="H219">
            <v>7</v>
          </cell>
          <cell r="I219">
            <v>10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4</v>
          </cell>
          <cell r="F220">
            <v>60</v>
          </cell>
          <cell r="G220">
            <v>56</v>
          </cell>
          <cell r="H220">
            <v>7</v>
          </cell>
          <cell r="I220">
            <v>10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4</v>
          </cell>
          <cell r="F221">
            <v>60</v>
          </cell>
          <cell r="G221">
            <v>56</v>
          </cell>
          <cell r="H221">
            <v>7</v>
          </cell>
          <cell r="I221">
            <v>10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39</v>
          </cell>
          <cell r="F222">
            <v>60</v>
          </cell>
          <cell r="G222">
            <v>21</v>
          </cell>
          <cell r="H222">
            <v>65</v>
          </cell>
          <cell r="I222">
            <v>100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46</v>
          </cell>
          <cell r="F223">
            <v>84</v>
          </cell>
          <cell r="G223">
            <v>38</v>
          </cell>
          <cell r="H223">
            <v>55</v>
          </cell>
          <cell r="I223">
            <v>100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46</v>
          </cell>
          <cell r="F224">
            <v>84</v>
          </cell>
          <cell r="G224">
            <v>38</v>
          </cell>
          <cell r="H224">
            <v>55</v>
          </cell>
          <cell r="I224">
            <v>100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46</v>
          </cell>
          <cell r="F225">
            <v>84</v>
          </cell>
          <cell r="G225">
            <v>38</v>
          </cell>
          <cell r="H225">
            <v>55</v>
          </cell>
          <cell r="I225">
            <v>100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45</v>
          </cell>
          <cell r="F226">
            <v>260</v>
          </cell>
          <cell r="G226">
            <v>215</v>
          </cell>
          <cell r="H226">
            <v>17</v>
          </cell>
          <cell r="I226">
            <v>100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54</v>
          </cell>
          <cell r="F227">
            <v>60</v>
          </cell>
          <cell r="G227">
            <v>6</v>
          </cell>
          <cell r="H227">
            <v>90</v>
          </cell>
          <cell r="I227">
            <v>75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54</v>
          </cell>
          <cell r="F228">
            <v>60</v>
          </cell>
          <cell r="G228">
            <v>6</v>
          </cell>
          <cell r="H228">
            <v>90</v>
          </cell>
          <cell r="I228">
            <v>75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52</v>
          </cell>
          <cell r="F229">
            <v>60</v>
          </cell>
          <cell r="G229">
            <v>8</v>
          </cell>
          <cell r="H229">
            <v>87</v>
          </cell>
          <cell r="I229">
            <v>75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52</v>
          </cell>
          <cell r="F230">
            <v>60</v>
          </cell>
          <cell r="G230">
            <v>8</v>
          </cell>
          <cell r="H230">
            <v>87</v>
          </cell>
          <cell r="I230">
            <v>75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51</v>
          </cell>
          <cell r="F231">
            <v>84</v>
          </cell>
          <cell r="G231">
            <v>33</v>
          </cell>
          <cell r="H231">
            <v>61</v>
          </cell>
          <cell r="I231">
            <v>60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47</v>
          </cell>
          <cell r="F232">
            <v>60</v>
          </cell>
          <cell r="G232">
            <v>13</v>
          </cell>
          <cell r="H232">
            <v>78</v>
          </cell>
          <cell r="I232">
            <v>100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46</v>
          </cell>
          <cell r="F233">
            <v>60</v>
          </cell>
          <cell r="G233">
            <v>14</v>
          </cell>
          <cell r="H233">
            <v>77</v>
          </cell>
          <cell r="I233">
            <v>100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62</v>
          </cell>
          <cell r="F234">
            <v>120</v>
          </cell>
          <cell r="G234">
            <v>58</v>
          </cell>
          <cell r="H234">
            <v>52</v>
          </cell>
          <cell r="I234">
            <v>75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61</v>
          </cell>
          <cell r="F235">
            <v>60</v>
          </cell>
          <cell r="G235">
            <v>0</v>
          </cell>
          <cell r="H235">
            <v>97</v>
          </cell>
          <cell r="I235">
            <v>100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50</v>
          </cell>
          <cell r="F236">
            <v>84</v>
          </cell>
          <cell r="G236">
            <v>34</v>
          </cell>
          <cell r="H236">
            <v>60</v>
          </cell>
          <cell r="I236">
            <v>75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</v>
          </cell>
          <cell r="F237">
            <v>84</v>
          </cell>
          <cell r="G237">
            <v>56</v>
          </cell>
          <cell r="H237">
            <v>33</v>
          </cell>
          <cell r="I237">
            <v>30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23</v>
          </cell>
          <cell r="F238">
            <v>84</v>
          </cell>
          <cell r="G238">
            <v>61</v>
          </cell>
          <cell r="H238">
            <v>27</v>
          </cell>
          <cell r="I238">
            <v>30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</v>
          </cell>
          <cell r="F239">
            <v>84</v>
          </cell>
          <cell r="G239">
            <v>27</v>
          </cell>
          <cell r="H239">
            <v>68</v>
          </cell>
          <cell r="I239">
            <v>60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55</v>
          </cell>
          <cell r="F240">
            <v>60</v>
          </cell>
          <cell r="G240">
            <v>5</v>
          </cell>
          <cell r="H240">
            <v>92</v>
          </cell>
          <cell r="I240">
            <v>60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55</v>
          </cell>
          <cell r="F241">
            <v>60</v>
          </cell>
          <cell r="G241">
            <v>5</v>
          </cell>
          <cell r="H241">
            <v>92</v>
          </cell>
          <cell r="I241">
            <v>60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</v>
          </cell>
          <cell r="F242">
            <v>84</v>
          </cell>
          <cell r="G242">
            <v>61</v>
          </cell>
          <cell r="H242">
            <v>27</v>
          </cell>
          <cell r="I242">
            <v>30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20</v>
          </cell>
          <cell r="F243">
            <v>60</v>
          </cell>
          <cell r="G243">
            <v>40</v>
          </cell>
          <cell r="H243">
            <v>33</v>
          </cell>
          <cell r="I243">
            <v>15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26</v>
          </cell>
          <cell r="G244">
            <v>0</v>
          </cell>
          <cell r="H244">
            <v>97</v>
          </cell>
          <cell r="I244">
            <v>60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73</v>
          </cell>
          <cell r="F245">
            <v>84</v>
          </cell>
          <cell r="G245">
            <v>11</v>
          </cell>
          <cell r="H245">
            <v>87</v>
          </cell>
          <cell r="I245">
            <v>100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73</v>
          </cell>
          <cell r="F246">
            <v>84</v>
          </cell>
          <cell r="G246">
            <v>11</v>
          </cell>
          <cell r="H246">
            <v>87</v>
          </cell>
          <cell r="I246">
            <v>100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73</v>
          </cell>
          <cell r="F247">
            <v>84</v>
          </cell>
          <cell r="G247">
            <v>11</v>
          </cell>
          <cell r="H247">
            <v>87</v>
          </cell>
          <cell r="I247">
            <v>100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73</v>
          </cell>
          <cell r="F248">
            <v>84</v>
          </cell>
          <cell r="G248">
            <v>11</v>
          </cell>
          <cell r="H248">
            <v>87</v>
          </cell>
          <cell r="I248">
            <v>100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73</v>
          </cell>
          <cell r="F249">
            <v>84</v>
          </cell>
          <cell r="G249">
            <v>11</v>
          </cell>
          <cell r="H249">
            <v>87</v>
          </cell>
          <cell r="I249">
            <v>100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73</v>
          </cell>
          <cell r="F250">
            <v>84</v>
          </cell>
          <cell r="G250">
            <v>11</v>
          </cell>
          <cell r="H250">
            <v>87</v>
          </cell>
          <cell r="I250">
            <v>100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73</v>
          </cell>
          <cell r="F251">
            <v>84</v>
          </cell>
          <cell r="G251">
            <v>11</v>
          </cell>
          <cell r="H251">
            <v>87</v>
          </cell>
          <cell r="I251">
            <v>100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73</v>
          </cell>
          <cell r="F252">
            <v>84</v>
          </cell>
          <cell r="G252">
            <v>11</v>
          </cell>
          <cell r="H252">
            <v>87</v>
          </cell>
          <cell r="I252">
            <v>100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73</v>
          </cell>
          <cell r="F253">
            <v>84</v>
          </cell>
          <cell r="G253">
            <v>11</v>
          </cell>
          <cell r="H253">
            <v>87</v>
          </cell>
          <cell r="I253">
            <v>100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73</v>
          </cell>
          <cell r="F254">
            <v>84</v>
          </cell>
          <cell r="G254">
            <v>11</v>
          </cell>
          <cell r="H254">
            <v>87</v>
          </cell>
          <cell r="I254">
            <v>100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73</v>
          </cell>
          <cell r="F255">
            <v>84</v>
          </cell>
          <cell r="G255">
            <v>11</v>
          </cell>
          <cell r="H255">
            <v>87</v>
          </cell>
          <cell r="I255">
            <v>100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73</v>
          </cell>
          <cell r="F256">
            <v>84</v>
          </cell>
          <cell r="G256">
            <v>11</v>
          </cell>
          <cell r="H256">
            <v>87</v>
          </cell>
          <cell r="I256">
            <v>100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73</v>
          </cell>
          <cell r="F257">
            <v>84</v>
          </cell>
          <cell r="G257">
            <v>11</v>
          </cell>
          <cell r="H257">
            <v>87</v>
          </cell>
          <cell r="I257">
            <v>100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73</v>
          </cell>
          <cell r="F258">
            <v>84</v>
          </cell>
          <cell r="G258">
            <v>11</v>
          </cell>
          <cell r="H258">
            <v>87</v>
          </cell>
          <cell r="I258">
            <v>100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73</v>
          </cell>
          <cell r="F259">
            <v>84</v>
          </cell>
          <cell r="G259">
            <v>11</v>
          </cell>
          <cell r="H259">
            <v>87</v>
          </cell>
          <cell r="I259">
            <v>100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73</v>
          </cell>
          <cell r="F260">
            <v>84</v>
          </cell>
          <cell r="G260">
            <v>11</v>
          </cell>
          <cell r="H260">
            <v>87</v>
          </cell>
          <cell r="I260">
            <v>100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73</v>
          </cell>
          <cell r="F261">
            <v>84</v>
          </cell>
          <cell r="G261">
            <v>11</v>
          </cell>
          <cell r="H261">
            <v>87</v>
          </cell>
          <cell r="I261">
            <v>100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73</v>
          </cell>
          <cell r="F262">
            <v>84</v>
          </cell>
          <cell r="G262">
            <v>11</v>
          </cell>
          <cell r="H262">
            <v>87</v>
          </cell>
          <cell r="I262">
            <v>100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73</v>
          </cell>
          <cell r="F263">
            <v>84</v>
          </cell>
          <cell r="G263">
            <v>11</v>
          </cell>
          <cell r="H263">
            <v>87</v>
          </cell>
          <cell r="I263">
            <v>100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3</v>
          </cell>
          <cell r="F264">
            <v>60</v>
          </cell>
          <cell r="G264">
            <v>57</v>
          </cell>
          <cell r="H264">
            <v>5</v>
          </cell>
          <cell r="I264">
            <v>10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3</v>
          </cell>
          <cell r="F265">
            <v>60</v>
          </cell>
          <cell r="G265">
            <v>57</v>
          </cell>
          <cell r="H265">
            <v>5</v>
          </cell>
          <cell r="I265">
            <v>10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3</v>
          </cell>
          <cell r="F266">
            <v>60</v>
          </cell>
          <cell r="G266">
            <v>57</v>
          </cell>
          <cell r="H266">
            <v>5</v>
          </cell>
          <cell r="I266">
            <v>10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3</v>
          </cell>
          <cell r="F267">
            <v>60</v>
          </cell>
          <cell r="G267">
            <v>57</v>
          </cell>
          <cell r="H267">
            <v>5</v>
          </cell>
          <cell r="I267">
            <v>10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3</v>
          </cell>
          <cell r="F268">
            <v>60</v>
          </cell>
          <cell r="G268">
            <v>57</v>
          </cell>
          <cell r="H268">
            <v>5</v>
          </cell>
          <cell r="I268">
            <v>10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3</v>
          </cell>
          <cell r="F269">
            <v>60</v>
          </cell>
          <cell r="G269">
            <v>57</v>
          </cell>
          <cell r="H269">
            <v>5</v>
          </cell>
          <cell r="I269">
            <v>10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63</v>
          </cell>
          <cell r="F270">
            <v>60</v>
          </cell>
          <cell r="G270">
            <v>0</v>
          </cell>
          <cell r="H270">
            <v>97</v>
          </cell>
          <cell r="I270">
            <v>100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63</v>
          </cell>
          <cell r="F271">
            <v>60</v>
          </cell>
          <cell r="G271">
            <v>0</v>
          </cell>
          <cell r="H271">
            <v>97</v>
          </cell>
          <cell r="I271">
            <v>100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63</v>
          </cell>
          <cell r="F272">
            <v>60</v>
          </cell>
          <cell r="G272">
            <v>0</v>
          </cell>
          <cell r="H272">
            <v>97</v>
          </cell>
          <cell r="I272">
            <v>100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62</v>
          </cell>
          <cell r="F273">
            <v>60</v>
          </cell>
          <cell r="G273">
            <v>0</v>
          </cell>
          <cell r="H273">
            <v>97</v>
          </cell>
          <cell r="I273">
            <v>100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58</v>
          </cell>
          <cell r="F274">
            <v>60</v>
          </cell>
          <cell r="G274">
            <v>2</v>
          </cell>
          <cell r="H274">
            <v>97</v>
          </cell>
          <cell r="I274">
            <v>75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58</v>
          </cell>
          <cell r="F275">
            <v>60</v>
          </cell>
          <cell r="G275">
            <v>2</v>
          </cell>
          <cell r="H275">
            <v>97</v>
          </cell>
          <cell r="I275">
            <v>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58</v>
          </cell>
          <cell r="F276">
            <v>60</v>
          </cell>
          <cell r="G276">
            <v>2</v>
          </cell>
          <cell r="H276">
            <v>97</v>
          </cell>
          <cell r="I276">
            <v>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58</v>
          </cell>
          <cell r="F277">
            <v>60</v>
          </cell>
          <cell r="G277">
            <v>2</v>
          </cell>
          <cell r="H277">
            <v>97</v>
          </cell>
          <cell r="I277">
            <v>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57</v>
          </cell>
          <cell r="F278">
            <v>60</v>
          </cell>
          <cell r="G278">
            <v>3</v>
          </cell>
          <cell r="H278">
            <v>95</v>
          </cell>
          <cell r="I278">
            <v>75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57</v>
          </cell>
          <cell r="F279">
            <v>60</v>
          </cell>
          <cell r="G279">
            <v>3</v>
          </cell>
          <cell r="H279">
            <v>95</v>
          </cell>
          <cell r="I279">
            <v>75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56</v>
          </cell>
          <cell r="F280">
            <v>60</v>
          </cell>
          <cell r="G280">
            <v>4</v>
          </cell>
          <cell r="H280">
            <v>93</v>
          </cell>
          <cell r="I280">
            <v>75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56</v>
          </cell>
          <cell r="F281">
            <v>60</v>
          </cell>
          <cell r="G281">
            <v>4</v>
          </cell>
          <cell r="H281">
            <v>93</v>
          </cell>
          <cell r="I281">
            <v>75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56</v>
          </cell>
          <cell r="F282">
            <v>60</v>
          </cell>
          <cell r="G282">
            <v>4</v>
          </cell>
          <cell r="H282">
            <v>93</v>
          </cell>
          <cell r="I282">
            <v>75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56</v>
          </cell>
          <cell r="F283">
            <v>60</v>
          </cell>
          <cell r="G283">
            <v>4</v>
          </cell>
          <cell r="H283">
            <v>93</v>
          </cell>
          <cell r="I283">
            <v>75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56</v>
          </cell>
          <cell r="F284">
            <v>60</v>
          </cell>
          <cell r="G284">
            <v>4</v>
          </cell>
          <cell r="H284">
            <v>93</v>
          </cell>
          <cell r="I284">
            <v>75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56</v>
          </cell>
          <cell r="F285">
            <v>60</v>
          </cell>
          <cell r="G285">
            <v>4</v>
          </cell>
          <cell r="H285">
            <v>93</v>
          </cell>
          <cell r="I285">
            <v>75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56</v>
          </cell>
          <cell r="F286">
            <v>60</v>
          </cell>
          <cell r="G286">
            <v>4</v>
          </cell>
          <cell r="H286">
            <v>93</v>
          </cell>
          <cell r="I286">
            <v>75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56</v>
          </cell>
          <cell r="F287">
            <v>60</v>
          </cell>
          <cell r="G287">
            <v>4</v>
          </cell>
          <cell r="H287">
            <v>93</v>
          </cell>
          <cell r="I287">
            <v>75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</v>
          </cell>
          <cell r="F288">
            <v>60</v>
          </cell>
          <cell r="G288">
            <v>9</v>
          </cell>
          <cell r="H288">
            <v>85</v>
          </cell>
          <cell r="I288">
            <v>75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51</v>
          </cell>
          <cell r="F289">
            <v>60</v>
          </cell>
          <cell r="G289">
            <v>9</v>
          </cell>
          <cell r="H289">
            <v>85</v>
          </cell>
          <cell r="I289">
            <v>75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51</v>
          </cell>
          <cell r="F290">
            <v>60</v>
          </cell>
          <cell r="G290">
            <v>9</v>
          </cell>
          <cell r="H290">
            <v>85</v>
          </cell>
          <cell r="I290">
            <v>75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51</v>
          </cell>
          <cell r="F291">
            <v>60</v>
          </cell>
          <cell r="G291">
            <v>9</v>
          </cell>
          <cell r="H291">
            <v>85</v>
          </cell>
          <cell r="I291">
            <v>75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</v>
          </cell>
          <cell r="F292">
            <v>60</v>
          </cell>
          <cell r="G292">
            <v>11</v>
          </cell>
          <cell r="H292">
            <v>82</v>
          </cell>
          <cell r="I292">
            <v>75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50</v>
          </cell>
          <cell r="F293">
            <v>60</v>
          </cell>
          <cell r="G293">
            <v>10</v>
          </cell>
          <cell r="H293">
            <v>83</v>
          </cell>
          <cell r="I293">
            <v>75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50</v>
          </cell>
          <cell r="F294">
            <v>60</v>
          </cell>
          <cell r="G294">
            <v>10</v>
          </cell>
          <cell r="H294">
            <v>83</v>
          </cell>
          <cell r="I294">
            <v>75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50</v>
          </cell>
          <cell r="F295">
            <v>60</v>
          </cell>
          <cell r="G295">
            <v>10</v>
          </cell>
          <cell r="H295">
            <v>83</v>
          </cell>
          <cell r="I295">
            <v>75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50</v>
          </cell>
          <cell r="F296">
            <v>60</v>
          </cell>
          <cell r="G296">
            <v>10</v>
          </cell>
          <cell r="H296">
            <v>83</v>
          </cell>
          <cell r="I296">
            <v>75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59</v>
          </cell>
          <cell r="F297">
            <v>60</v>
          </cell>
          <cell r="G297">
            <v>1</v>
          </cell>
          <cell r="H297">
            <v>98</v>
          </cell>
          <cell r="I297">
            <v>75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23</v>
          </cell>
          <cell r="F298">
            <v>84</v>
          </cell>
          <cell r="G298">
            <v>61</v>
          </cell>
          <cell r="H298">
            <v>27</v>
          </cell>
          <cell r="I298">
            <v>10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23</v>
          </cell>
          <cell r="F299">
            <v>60</v>
          </cell>
          <cell r="G299">
            <v>37</v>
          </cell>
          <cell r="H299">
            <v>38</v>
          </cell>
          <cell r="I299">
            <v>35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23</v>
          </cell>
          <cell r="F300">
            <v>60</v>
          </cell>
          <cell r="G300">
            <v>37</v>
          </cell>
          <cell r="H300">
            <v>38</v>
          </cell>
          <cell r="I300">
            <v>35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23</v>
          </cell>
          <cell r="F301">
            <v>60</v>
          </cell>
          <cell r="G301">
            <v>37</v>
          </cell>
          <cell r="H301">
            <v>38</v>
          </cell>
          <cell r="I301">
            <v>35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23</v>
          </cell>
          <cell r="F302">
            <v>60</v>
          </cell>
          <cell r="G302">
            <v>37</v>
          </cell>
          <cell r="H302">
            <v>38</v>
          </cell>
          <cell r="I302">
            <v>35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55</v>
          </cell>
          <cell r="G303">
            <v>0</v>
          </cell>
          <cell r="H303">
            <v>97</v>
          </cell>
          <cell r="I303">
            <v>75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26</v>
          </cell>
          <cell r="F304">
            <v>60</v>
          </cell>
          <cell r="G304">
            <v>34</v>
          </cell>
          <cell r="H304">
            <v>43</v>
          </cell>
          <cell r="I304">
            <v>60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26</v>
          </cell>
          <cell r="F305">
            <v>60</v>
          </cell>
          <cell r="G305">
            <v>34</v>
          </cell>
          <cell r="H305">
            <v>43</v>
          </cell>
          <cell r="I305">
            <v>60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26</v>
          </cell>
          <cell r="F306">
            <v>60</v>
          </cell>
          <cell r="G306">
            <v>34</v>
          </cell>
          <cell r="H306">
            <v>43</v>
          </cell>
          <cell r="I306">
            <v>60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</v>
          </cell>
          <cell r="F307">
            <v>84</v>
          </cell>
          <cell r="G307">
            <v>76</v>
          </cell>
          <cell r="H307">
            <v>10</v>
          </cell>
          <cell r="I307">
            <v>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59</v>
          </cell>
          <cell r="F308">
            <v>60</v>
          </cell>
          <cell r="G308">
            <v>1</v>
          </cell>
          <cell r="H308">
            <v>98</v>
          </cell>
          <cell r="I308">
            <v>100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57</v>
          </cell>
          <cell r="F309">
            <v>60</v>
          </cell>
          <cell r="G309">
            <v>3</v>
          </cell>
          <cell r="H309">
            <v>95</v>
          </cell>
          <cell r="I309">
            <v>75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9</v>
          </cell>
          <cell r="F310">
            <v>120</v>
          </cell>
          <cell r="G310">
            <v>111</v>
          </cell>
          <cell r="H310">
            <v>8</v>
          </cell>
          <cell r="I310">
            <v>5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8</v>
          </cell>
          <cell r="F311">
            <v>84</v>
          </cell>
          <cell r="G311">
            <v>76</v>
          </cell>
          <cell r="H311">
            <v>10</v>
          </cell>
          <cell r="I311">
            <v>5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9</v>
          </cell>
          <cell r="F312">
            <v>260</v>
          </cell>
          <cell r="G312">
            <v>251</v>
          </cell>
          <cell r="H312">
            <v>3</v>
          </cell>
          <cell r="I312">
            <v>5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9</v>
          </cell>
          <cell r="F313">
            <v>260</v>
          </cell>
          <cell r="G313">
            <v>251</v>
          </cell>
          <cell r="H313">
            <v>3</v>
          </cell>
          <cell r="I313">
            <v>5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45</v>
          </cell>
          <cell r="F314">
            <v>60</v>
          </cell>
          <cell r="G314">
            <v>15</v>
          </cell>
          <cell r="H314">
            <v>75</v>
          </cell>
          <cell r="I314">
            <v>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45</v>
          </cell>
          <cell r="F315">
            <v>60</v>
          </cell>
          <cell r="G315">
            <v>15</v>
          </cell>
          <cell r="H315">
            <v>75</v>
          </cell>
          <cell r="I315">
            <v>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39</v>
          </cell>
          <cell r="F316">
            <v>60</v>
          </cell>
          <cell r="G316">
            <v>21</v>
          </cell>
          <cell r="H316">
            <v>65</v>
          </cell>
          <cell r="I316">
            <v>100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39</v>
          </cell>
          <cell r="F317">
            <v>60</v>
          </cell>
          <cell r="G317">
            <v>21</v>
          </cell>
          <cell r="H317">
            <v>65</v>
          </cell>
          <cell r="I317">
            <v>100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39</v>
          </cell>
          <cell r="F318">
            <v>60</v>
          </cell>
          <cell r="G318">
            <v>21</v>
          </cell>
          <cell r="H318">
            <v>65</v>
          </cell>
          <cell r="I318">
            <v>100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39</v>
          </cell>
          <cell r="F319">
            <v>60</v>
          </cell>
          <cell r="G319">
            <v>21</v>
          </cell>
          <cell r="H319">
            <v>65</v>
          </cell>
          <cell r="I319">
            <v>100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39</v>
          </cell>
          <cell r="F320">
            <v>60</v>
          </cell>
          <cell r="G320">
            <v>21</v>
          </cell>
          <cell r="H320">
            <v>65</v>
          </cell>
          <cell r="I320">
            <v>100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39</v>
          </cell>
          <cell r="F321">
            <v>60</v>
          </cell>
          <cell r="G321">
            <v>21</v>
          </cell>
          <cell r="H321">
            <v>65</v>
          </cell>
          <cell r="I321">
            <v>100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24</v>
          </cell>
          <cell r="F322">
            <v>60</v>
          </cell>
          <cell r="G322">
            <v>36</v>
          </cell>
          <cell r="H322">
            <v>40</v>
          </cell>
          <cell r="I322">
            <v>60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24</v>
          </cell>
          <cell r="F323">
            <v>60</v>
          </cell>
          <cell r="G323">
            <v>36</v>
          </cell>
          <cell r="H323">
            <v>40</v>
          </cell>
          <cell r="I323">
            <v>5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24</v>
          </cell>
          <cell r="F324">
            <v>60</v>
          </cell>
          <cell r="G324">
            <v>36</v>
          </cell>
          <cell r="H324">
            <v>40</v>
          </cell>
          <cell r="I324">
            <v>30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11</v>
          </cell>
          <cell r="F325">
            <v>60</v>
          </cell>
          <cell r="G325">
            <v>49</v>
          </cell>
          <cell r="H325">
            <v>18</v>
          </cell>
          <cell r="I325">
            <v>60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11</v>
          </cell>
          <cell r="F326">
            <v>60</v>
          </cell>
          <cell r="G326">
            <v>49</v>
          </cell>
          <cell r="H326">
            <v>18</v>
          </cell>
          <cell r="I326">
            <v>60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11</v>
          </cell>
          <cell r="F327">
            <v>60</v>
          </cell>
          <cell r="G327">
            <v>49</v>
          </cell>
          <cell r="H327">
            <v>18</v>
          </cell>
          <cell r="I327">
            <v>100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11</v>
          </cell>
          <cell r="F328">
            <v>60</v>
          </cell>
          <cell r="G328">
            <v>49</v>
          </cell>
          <cell r="H328">
            <v>18</v>
          </cell>
          <cell r="I328">
            <v>100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11</v>
          </cell>
          <cell r="F329">
            <v>60</v>
          </cell>
          <cell r="G329">
            <v>49</v>
          </cell>
          <cell r="H329">
            <v>18</v>
          </cell>
          <cell r="I329">
            <v>100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11</v>
          </cell>
          <cell r="F330">
            <v>60</v>
          </cell>
          <cell r="G330">
            <v>49</v>
          </cell>
          <cell r="H330">
            <v>18</v>
          </cell>
          <cell r="I330">
            <v>100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11</v>
          </cell>
          <cell r="F331">
            <v>60</v>
          </cell>
          <cell r="G331">
            <v>49</v>
          </cell>
          <cell r="H331">
            <v>18</v>
          </cell>
          <cell r="I331">
            <v>60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11</v>
          </cell>
          <cell r="F332">
            <v>60</v>
          </cell>
          <cell r="G332">
            <v>49</v>
          </cell>
          <cell r="H332">
            <v>18</v>
          </cell>
          <cell r="I332">
            <v>60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11</v>
          </cell>
          <cell r="F333">
            <v>60</v>
          </cell>
          <cell r="G333">
            <v>49</v>
          </cell>
          <cell r="H333">
            <v>18</v>
          </cell>
          <cell r="I333">
            <v>100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59</v>
          </cell>
          <cell r="F334">
            <v>60</v>
          </cell>
          <cell r="G334">
            <v>1</v>
          </cell>
          <cell r="H334">
            <v>98</v>
          </cell>
          <cell r="I334">
            <v>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59</v>
          </cell>
          <cell r="F335">
            <v>60</v>
          </cell>
          <cell r="G335">
            <v>1</v>
          </cell>
          <cell r="H335">
            <v>98</v>
          </cell>
          <cell r="I335">
            <v>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59</v>
          </cell>
          <cell r="F336">
            <v>60</v>
          </cell>
          <cell r="G336">
            <v>1</v>
          </cell>
          <cell r="H336">
            <v>98</v>
          </cell>
          <cell r="I336">
            <v>75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59</v>
          </cell>
          <cell r="F337">
            <v>60</v>
          </cell>
          <cell r="G337">
            <v>1</v>
          </cell>
          <cell r="H337">
            <v>98</v>
          </cell>
          <cell r="I337">
            <v>75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55</v>
          </cell>
          <cell r="F338">
            <v>60</v>
          </cell>
          <cell r="G338">
            <v>5</v>
          </cell>
          <cell r="H338">
            <v>92</v>
          </cell>
          <cell r="I338">
            <v>100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54</v>
          </cell>
          <cell r="F339">
            <v>60</v>
          </cell>
          <cell r="G339">
            <v>6</v>
          </cell>
          <cell r="H339">
            <v>90</v>
          </cell>
          <cell r="I339">
            <v>75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53</v>
          </cell>
          <cell r="F340">
            <v>60</v>
          </cell>
          <cell r="G340">
            <v>7</v>
          </cell>
          <cell r="H340">
            <v>88</v>
          </cell>
          <cell r="I340">
            <v>75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53</v>
          </cell>
          <cell r="F341">
            <v>60</v>
          </cell>
          <cell r="G341">
            <v>7</v>
          </cell>
          <cell r="H341">
            <v>88</v>
          </cell>
          <cell r="I341">
            <v>75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53</v>
          </cell>
          <cell r="F342">
            <v>60</v>
          </cell>
          <cell r="G342">
            <v>7</v>
          </cell>
          <cell r="H342">
            <v>88</v>
          </cell>
          <cell r="I342">
            <v>75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53</v>
          </cell>
          <cell r="F343">
            <v>60</v>
          </cell>
          <cell r="G343">
            <v>7</v>
          </cell>
          <cell r="H343">
            <v>88</v>
          </cell>
          <cell r="I343">
            <v>75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53</v>
          </cell>
          <cell r="F344">
            <v>60</v>
          </cell>
          <cell r="G344">
            <v>7</v>
          </cell>
          <cell r="H344">
            <v>88</v>
          </cell>
          <cell r="I344">
            <v>75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53</v>
          </cell>
          <cell r="F345">
            <v>60</v>
          </cell>
          <cell r="G345">
            <v>7</v>
          </cell>
          <cell r="H345">
            <v>88</v>
          </cell>
          <cell r="I345">
            <v>75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24</v>
          </cell>
          <cell r="F346">
            <v>60</v>
          </cell>
          <cell r="G346">
            <v>36</v>
          </cell>
          <cell r="H346">
            <v>40</v>
          </cell>
          <cell r="I346">
            <v>60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24</v>
          </cell>
          <cell r="F347">
            <v>60</v>
          </cell>
          <cell r="G347">
            <v>36</v>
          </cell>
          <cell r="H347">
            <v>40</v>
          </cell>
          <cell r="I347">
            <v>60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24</v>
          </cell>
          <cell r="F348">
            <v>60</v>
          </cell>
          <cell r="G348">
            <v>36</v>
          </cell>
          <cell r="H348">
            <v>40</v>
          </cell>
          <cell r="I348">
            <v>60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24</v>
          </cell>
          <cell r="F349">
            <v>60</v>
          </cell>
          <cell r="G349">
            <v>36</v>
          </cell>
          <cell r="H349">
            <v>40</v>
          </cell>
          <cell r="I349">
            <v>60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24</v>
          </cell>
          <cell r="F350">
            <v>60</v>
          </cell>
          <cell r="G350">
            <v>36</v>
          </cell>
          <cell r="H350">
            <v>40</v>
          </cell>
          <cell r="I350">
            <v>60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24</v>
          </cell>
          <cell r="F351">
            <v>60</v>
          </cell>
          <cell r="G351">
            <v>36</v>
          </cell>
          <cell r="H351">
            <v>40</v>
          </cell>
          <cell r="I351">
            <v>60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46</v>
          </cell>
          <cell r="F352">
            <v>60</v>
          </cell>
          <cell r="G352">
            <v>14</v>
          </cell>
          <cell r="H352">
            <v>77</v>
          </cell>
          <cell r="I352">
            <v>75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45</v>
          </cell>
          <cell r="F353">
            <v>60</v>
          </cell>
          <cell r="G353">
            <v>15</v>
          </cell>
          <cell r="H353">
            <v>75</v>
          </cell>
          <cell r="I353">
            <v>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44</v>
          </cell>
          <cell r="F354">
            <v>84</v>
          </cell>
          <cell r="G354">
            <v>40</v>
          </cell>
          <cell r="H354">
            <v>52</v>
          </cell>
          <cell r="I354">
            <v>100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44</v>
          </cell>
          <cell r="F355">
            <v>84</v>
          </cell>
          <cell r="G355">
            <v>40</v>
          </cell>
          <cell r="H355">
            <v>52</v>
          </cell>
          <cell r="I355">
            <v>100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44</v>
          </cell>
          <cell r="F356">
            <v>84</v>
          </cell>
          <cell r="G356">
            <v>40</v>
          </cell>
          <cell r="H356">
            <v>52</v>
          </cell>
          <cell r="I356">
            <v>100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44</v>
          </cell>
          <cell r="F357">
            <v>84</v>
          </cell>
          <cell r="G357">
            <v>40</v>
          </cell>
          <cell r="H357">
            <v>52</v>
          </cell>
          <cell r="I357">
            <v>100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44</v>
          </cell>
          <cell r="F358">
            <v>84</v>
          </cell>
          <cell r="G358">
            <v>40</v>
          </cell>
          <cell r="H358">
            <v>52</v>
          </cell>
          <cell r="I358">
            <v>100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44</v>
          </cell>
          <cell r="F359">
            <v>84</v>
          </cell>
          <cell r="G359">
            <v>40</v>
          </cell>
          <cell r="H359">
            <v>52</v>
          </cell>
          <cell r="I359">
            <v>100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49</v>
          </cell>
          <cell r="F360">
            <v>84</v>
          </cell>
          <cell r="G360">
            <v>35</v>
          </cell>
          <cell r="H360">
            <v>58</v>
          </cell>
          <cell r="I360">
            <v>75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49</v>
          </cell>
          <cell r="F361">
            <v>60</v>
          </cell>
          <cell r="G361">
            <v>11</v>
          </cell>
          <cell r="H361">
            <v>82</v>
          </cell>
          <cell r="I361">
            <v>75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37</v>
          </cell>
          <cell r="F362">
            <v>48</v>
          </cell>
          <cell r="G362">
            <v>11</v>
          </cell>
          <cell r="H362">
            <v>77</v>
          </cell>
          <cell r="I362">
            <v>100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45</v>
          </cell>
          <cell r="F363">
            <v>260</v>
          </cell>
          <cell r="G363">
            <v>215</v>
          </cell>
          <cell r="H363">
            <v>17</v>
          </cell>
          <cell r="I363">
            <v>100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45</v>
          </cell>
          <cell r="F364">
            <v>260</v>
          </cell>
          <cell r="G364">
            <v>215</v>
          </cell>
          <cell r="H364">
            <v>17</v>
          </cell>
          <cell r="I364">
            <v>100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45</v>
          </cell>
          <cell r="F365">
            <v>260</v>
          </cell>
          <cell r="G365">
            <v>215</v>
          </cell>
          <cell r="H365">
            <v>17</v>
          </cell>
          <cell r="I365">
            <v>100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45</v>
          </cell>
          <cell r="F366">
            <v>260</v>
          </cell>
          <cell r="G366">
            <v>215</v>
          </cell>
          <cell r="H366">
            <v>17</v>
          </cell>
          <cell r="I366">
            <v>100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45</v>
          </cell>
          <cell r="F367">
            <v>260</v>
          </cell>
          <cell r="G367">
            <v>215</v>
          </cell>
          <cell r="H367">
            <v>17</v>
          </cell>
          <cell r="I367">
            <v>100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56</v>
          </cell>
          <cell r="F368">
            <v>60</v>
          </cell>
          <cell r="G368">
            <v>4</v>
          </cell>
          <cell r="H368">
            <v>93</v>
          </cell>
          <cell r="I368">
            <v>100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56</v>
          </cell>
          <cell r="F369">
            <v>60</v>
          </cell>
          <cell r="G369">
            <v>4</v>
          </cell>
          <cell r="H369">
            <v>93</v>
          </cell>
          <cell r="I369">
            <v>100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55</v>
          </cell>
          <cell r="F370">
            <v>60</v>
          </cell>
          <cell r="G370">
            <v>5</v>
          </cell>
          <cell r="H370">
            <v>92</v>
          </cell>
          <cell r="I370">
            <v>100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55</v>
          </cell>
          <cell r="F371">
            <v>60</v>
          </cell>
          <cell r="G371">
            <v>5</v>
          </cell>
          <cell r="H371">
            <v>92</v>
          </cell>
          <cell r="I371">
            <v>100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32</v>
          </cell>
          <cell r="F372">
            <v>60</v>
          </cell>
          <cell r="G372">
            <v>28</v>
          </cell>
          <cell r="H372">
            <v>53</v>
          </cell>
          <cell r="I372">
            <v>60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32</v>
          </cell>
          <cell r="F373">
            <v>60</v>
          </cell>
          <cell r="G373">
            <v>28</v>
          </cell>
          <cell r="H373">
            <v>53</v>
          </cell>
          <cell r="I373">
            <v>60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22</v>
          </cell>
          <cell r="F374">
            <v>60</v>
          </cell>
          <cell r="G374">
            <v>38</v>
          </cell>
          <cell r="H374">
            <v>37</v>
          </cell>
          <cell r="I374">
            <v>60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22</v>
          </cell>
          <cell r="F375">
            <v>60</v>
          </cell>
          <cell r="G375">
            <v>38</v>
          </cell>
          <cell r="H375">
            <v>37</v>
          </cell>
          <cell r="I375">
            <v>60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20</v>
          </cell>
          <cell r="F376">
            <v>60</v>
          </cell>
          <cell r="G376">
            <v>40</v>
          </cell>
          <cell r="H376">
            <v>33</v>
          </cell>
          <cell r="I376">
            <v>60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70</v>
          </cell>
          <cell r="F377">
            <v>84</v>
          </cell>
          <cell r="G377">
            <v>14</v>
          </cell>
          <cell r="H377">
            <v>83</v>
          </cell>
          <cell r="I377">
            <v>100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4</v>
          </cell>
          <cell r="F378">
            <v>60</v>
          </cell>
          <cell r="G378">
            <v>56</v>
          </cell>
          <cell r="H378">
            <v>7</v>
          </cell>
          <cell r="I378">
            <v>10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4</v>
          </cell>
          <cell r="F379">
            <v>60</v>
          </cell>
          <cell r="G379">
            <v>56</v>
          </cell>
          <cell r="H379">
            <v>7</v>
          </cell>
          <cell r="I379">
            <v>10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4</v>
          </cell>
          <cell r="F380">
            <v>60</v>
          </cell>
          <cell r="G380">
            <v>56</v>
          </cell>
          <cell r="H380">
            <v>7</v>
          </cell>
          <cell r="I380">
            <v>10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4</v>
          </cell>
          <cell r="F381">
            <v>60</v>
          </cell>
          <cell r="G381">
            <v>56</v>
          </cell>
          <cell r="H381">
            <v>7</v>
          </cell>
          <cell r="I381">
            <v>10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24</v>
          </cell>
          <cell r="F382">
            <v>84</v>
          </cell>
          <cell r="G382">
            <v>60</v>
          </cell>
          <cell r="H382">
            <v>29</v>
          </cell>
          <cell r="I382">
            <v>60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32</v>
          </cell>
          <cell r="F383">
            <v>24</v>
          </cell>
          <cell r="G383">
            <v>0</v>
          </cell>
          <cell r="H383">
            <v>97</v>
          </cell>
          <cell r="I383">
            <v>60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32</v>
          </cell>
          <cell r="F384">
            <v>60</v>
          </cell>
          <cell r="G384">
            <v>28</v>
          </cell>
          <cell r="H384">
            <v>53</v>
          </cell>
          <cell r="I384">
            <v>60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32</v>
          </cell>
          <cell r="F385">
            <v>60</v>
          </cell>
          <cell r="G385">
            <v>28</v>
          </cell>
          <cell r="H385">
            <v>53</v>
          </cell>
          <cell r="I385">
            <v>60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39</v>
          </cell>
          <cell r="F386">
            <v>60</v>
          </cell>
          <cell r="G386">
            <v>21</v>
          </cell>
          <cell r="H386">
            <v>65</v>
          </cell>
          <cell r="I386">
            <v>100</v>
          </cell>
        </row>
        <row r="389">
          <cell r="B389" t="str">
            <v>Срок полезного использования определен в соответствии с Постановлением Правительства РФ №1 от 01.01.2002г. "О классификации основных средств, включаемых в амортизационные группы"</v>
          </cell>
        </row>
        <row r="391">
          <cell r="B391" t="str">
            <v>Расчет физического износа произведен с использованием Методики Р-03112194-0376-98</v>
          </cell>
        </row>
      </sheetData>
      <sheetData sheetId="3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стоимость, руб.</v>
          </cell>
          <cell r="F1" t="str">
            <v>Стоимость воспроизводства (замещения), руб.</v>
          </cell>
          <cell r="G1" t="str">
            <v>Физический износ, %</v>
          </cell>
          <cell r="H1" t="str">
            <v>Функциональный износ, %</v>
          </cell>
          <cell r="I1" t="str">
            <v>Внешний износ, %</v>
          </cell>
          <cell r="J1" t="str">
            <v>Накопленный износ, %</v>
          </cell>
          <cell r="K1" t="str">
            <v>Рыночная стоимость, руб.</v>
          </cell>
          <cell r="L1" t="str">
            <v>Рыночная стоимость (округленная),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21164</v>
          </cell>
          <cell r="G2">
            <v>97</v>
          </cell>
          <cell r="H2" t="str">
            <v>0</v>
          </cell>
          <cell r="I2" t="str">
            <v>0</v>
          </cell>
          <cell r="J2">
            <v>97</v>
          </cell>
          <cell r="K2">
            <v>635</v>
          </cell>
          <cell r="L2">
            <v>640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169153</v>
          </cell>
          <cell r="G3">
            <v>97</v>
          </cell>
          <cell r="H3" t="str">
            <v>0</v>
          </cell>
          <cell r="I3" t="str">
            <v>0</v>
          </cell>
          <cell r="J3">
            <v>97</v>
          </cell>
          <cell r="K3">
            <v>5075</v>
          </cell>
          <cell r="L3">
            <v>5100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23246</v>
          </cell>
          <cell r="G4">
            <v>92</v>
          </cell>
          <cell r="H4" t="str">
            <v>0</v>
          </cell>
          <cell r="I4" t="str">
            <v>0</v>
          </cell>
          <cell r="J4">
            <v>92</v>
          </cell>
          <cell r="K4">
            <v>1860</v>
          </cell>
          <cell r="L4">
            <v>1900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23246</v>
          </cell>
          <cell r="G5">
            <v>92</v>
          </cell>
          <cell r="H5" t="str">
            <v>0</v>
          </cell>
          <cell r="I5" t="str">
            <v>0</v>
          </cell>
          <cell r="J5">
            <v>92</v>
          </cell>
          <cell r="K5">
            <v>1860</v>
          </cell>
          <cell r="L5">
            <v>1900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23246</v>
          </cell>
          <cell r="G6">
            <v>92</v>
          </cell>
          <cell r="H6" t="str">
            <v>0</v>
          </cell>
          <cell r="I6" t="str">
            <v>0</v>
          </cell>
          <cell r="J6">
            <v>92</v>
          </cell>
          <cell r="K6">
            <v>1860</v>
          </cell>
          <cell r="L6">
            <v>1900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23186</v>
          </cell>
          <cell r="G7">
            <v>92</v>
          </cell>
          <cell r="H7" t="str">
            <v>0</v>
          </cell>
          <cell r="I7" t="str">
            <v>0</v>
          </cell>
          <cell r="J7">
            <v>92</v>
          </cell>
          <cell r="K7">
            <v>1855</v>
          </cell>
          <cell r="L7">
            <v>1900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320874</v>
          </cell>
          <cell r="G8">
            <v>92</v>
          </cell>
          <cell r="H8" t="str">
            <v>0</v>
          </cell>
          <cell r="I8" t="str">
            <v>0</v>
          </cell>
          <cell r="J8">
            <v>92</v>
          </cell>
          <cell r="K8">
            <v>25670</v>
          </cell>
          <cell r="L8">
            <v>26000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293220</v>
          </cell>
          <cell r="G9">
            <v>92</v>
          </cell>
          <cell r="H9" t="str">
            <v>0</v>
          </cell>
          <cell r="I9" t="str">
            <v>0</v>
          </cell>
          <cell r="J9">
            <v>92</v>
          </cell>
          <cell r="K9">
            <v>23458</v>
          </cell>
          <cell r="L9">
            <v>23000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25397</v>
          </cell>
          <cell r="G10">
            <v>88</v>
          </cell>
          <cell r="H10" t="str">
            <v>0</v>
          </cell>
          <cell r="I10" t="str">
            <v>0</v>
          </cell>
          <cell r="J10">
            <v>88</v>
          </cell>
          <cell r="K10">
            <v>3048</v>
          </cell>
          <cell r="L10">
            <v>3000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3504</v>
          </cell>
          <cell r="G11">
            <v>96</v>
          </cell>
          <cell r="H11" t="str">
            <v>0</v>
          </cell>
          <cell r="I11" t="str">
            <v>0</v>
          </cell>
          <cell r="J11">
            <v>96</v>
          </cell>
          <cell r="K11">
            <v>140</v>
          </cell>
          <cell r="L11">
            <v>140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3504</v>
          </cell>
          <cell r="G12">
            <v>96</v>
          </cell>
          <cell r="H12" t="str">
            <v>0</v>
          </cell>
          <cell r="I12" t="str">
            <v>0</v>
          </cell>
          <cell r="J12">
            <v>96</v>
          </cell>
          <cell r="K12">
            <v>140</v>
          </cell>
          <cell r="L12">
            <v>140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3504</v>
          </cell>
          <cell r="G13">
            <v>96</v>
          </cell>
          <cell r="H13" t="str">
            <v>0</v>
          </cell>
          <cell r="I13" t="str">
            <v>0</v>
          </cell>
          <cell r="J13">
            <v>96</v>
          </cell>
          <cell r="K13">
            <v>140</v>
          </cell>
          <cell r="L13">
            <v>140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3504</v>
          </cell>
          <cell r="G14">
            <v>96</v>
          </cell>
          <cell r="H14" t="str">
            <v>0</v>
          </cell>
          <cell r="I14" t="str">
            <v>0</v>
          </cell>
          <cell r="J14">
            <v>96</v>
          </cell>
          <cell r="K14">
            <v>140</v>
          </cell>
          <cell r="L14">
            <v>140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3504</v>
          </cell>
          <cell r="G15">
            <v>96</v>
          </cell>
          <cell r="H15" t="str">
            <v>0</v>
          </cell>
          <cell r="I15" t="str">
            <v>0</v>
          </cell>
          <cell r="J15">
            <v>96</v>
          </cell>
          <cell r="K15">
            <v>140</v>
          </cell>
          <cell r="L15">
            <v>140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20339</v>
          </cell>
          <cell r="G16">
            <v>97</v>
          </cell>
          <cell r="H16" t="str">
            <v>0</v>
          </cell>
          <cell r="I16" t="str">
            <v>0</v>
          </cell>
          <cell r="J16">
            <v>97</v>
          </cell>
          <cell r="K16">
            <v>610</v>
          </cell>
          <cell r="L16">
            <v>610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24009</v>
          </cell>
          <cell r="G17">
            <v>97</v>
          </cell>
          <cell r="H17" t="str">
            <v>0</v>
          </cell>
          <cell r="I17" t="str">
            <v>0</v>
          </cell>
          <cell r="J17">
            <v>97</v>
          </cell>
          <cell r="K17">
            <v>720</v>
          </cell>
          <cell r="L17">
            <v>720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8231</v>
          </cell>
          <cell r="G18">
            <v>97</v>
          </cell>
          <cell r="H18" t="str">
            <v>0</v>
          </cell>
          <cell r="I18" t="str">
            <v>0</v>
          </cell>
          <cell r="J18">
            <v>97</v>
          </cell>
          <cell r="K18">
            <v>247</v>
          </cell>
          <cell r="L18">
            <v>250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6114</v>
          </cell>
          <cell r="G19">
            <v>97</v>
          </cell>
          <cell r="H19" t="str">
            <v>0</v>
          </cell>
          <cell r="I19" t="str">
            <v>0</v>
          </cell>
          <cell r="J19">
            <v>97</v>
          </cell>
          <cell r="K19">
            <v>183</v>
          </cell>
          <cell r="L19">
            <v>180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5808</v>
          </cell>
          <cell r="G20">
            <v>97</v>
          </cell>
          <cell r="H20" t="str">
            <v>0</v>
          </cell>
          <cell r="I20" t="str">
            <v>0</v>
          </cell>
          <cell r="J20">
            <v>97</v>
          </cell>
          <cell r="K20">
            <v>174</v>
          </cell>
          <cell r="L20">
            <v>170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7415</v>
          </cell>
          <cell r="G21">
            <v>97</v>
          </cell>
          <cell r="H21" t="str">
            <v>0</v>
          </cell>
          <cell r="I21" t="str">
            <v>0</v>
          </cell>
          <cell r="J21">
            <v>97</v>
          </cell>
          <cell r="K21">
            <v>222</v>
          </cell>
          <cell r="L21">
            <v>220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15614</v>
          </cell>
          <cell r="G22">
            <v>97</v>
          </cell>
          <cell r="H22" t="str">
            <v>0</v>
          </cell>
          <cell r="I22" t="str">
            <v>0</v>
          </cell>
          <cell r="J22">
            <v>97</v>
          </cell>
          <cell r="K22">
            <v>468</v>
          </cell>
          <cell r="L22">
            <v>470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15820</v>
          </cell>
          <cell r="G23">
            <v>90</v>
          </cell>
          <cell r="H23" t="str">
            <v>0</v>
          </cell>
          <cell r="I23" t="str">
            <v>0</v>
          </cell>
          <cell r="J23">
            <v>90</v>
          </cell>
          <cell r="K23">
            <v>1582</v>
          </cell>
          <cell r="L23">
            <v>1600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1014</v>
          </cell>
          <cell r="G24">
            <v>65</v>
          </cell>
          <cell r="H24" t="str">
            <v>0</v>
          </cell>
          <cell r="I24" t="str">
            <v>0</v>
          </cell>
          <cell r="J24">
            <v>65</v>
          </cell>
          <cell r="K24">
            <v>355</v>
          </cell>
          <cell r="L24">
            <v>360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1014</v>
          </cell>
          <cell r="G25">
            <v>65</v>
          </cell>
          <cell r="H25" t="str">
            <v>0</v>
          </cell>
          <cell r="I25" t="str">
            <v>0</v>
          </cell>
          <cell r="J25">
            <v>65</v>
          </cell>
          <cell r="K25">
            <v>355</v>
          </cell>
          <cell r="L25">
            <v>360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6151</v>
          </cell>
          <cell r="G26">
            <v>57</v>
          </cell>
          <cell r="H26" t="str">
            <v>0</v>
          </cell>
          <cell r="I26" t="str">
            <v>0</v>
          </cell>
          <cell r="J26">
            <v>57</v>
          </cell>
          <cell r="K26">
            <v>2645</v>
          </cell>
          <cell r="L26">
            <v>2600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149153</v>
          </cell>
          <cell r="G27">
            <v>57</v>
          </cell>
          <cell r="H27" t="str">
            <v>0</v>
          </cell>
          <cell r="I27" t="str">
            <v>0</v>
          </cell>
          <cell r="J27">
            <v>57</v>
          </cell>
          <cell r="K27">
            <v>64136</v>
          </cell>
          <cell r="L27">
            <v>64000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12228</v>
          </cell>
          <cell r="G28">
            <v>57</v>
          </cell>
          <cell r="H28" t="str">
            <v>0</v>
          </cell>
          <cell r="I28" t="str">
            <v>0</v>
          </cell>
          <cell r="J28">
            <v>57</v>
          </cell>
          <cell r="K28">
            <v>5258</v>
          </cell>
          <cell r="L28">
            <v>5300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32099</v>
          </cell>
          <cell r="G29">
            <v>57</v>
          </cell>
          <cell r="H29" t="str">
            <v>0</v>
          </cell>
          <cell r="I29" t="str">
            <v>0</v>
          </cell>
          <cell r="J29">
            <v>57</v>
          </cell>
          <cell r="K29">
            <v>13803</v>
          </cell>
          <cell r="L29">
            <v>14000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25374</v>
          </cell>
          <cell r="G30">
            <v>57</v>
          </cell>
          <cell r="H30" t="str">
            <v>0</v>
          </cell>
          <cell r="I30" t="str">
            <v>0</v>
          </cell>
          <cell r="J30">
            <v>57</v>
          </cell>
          <cell r="K30">
            <v>10911</v>
          </cell>
          <cell r="L30">
            <v>11000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3716392</v>
          </cell>
          <cell r="G31">
            <v>28</v>
          </cell>
          <cell r="H31" t="str">
            <v>0</v>
          </cell>
          <cell r="I31" t="str">
            <v>0</v>
          </cell>
          <cell r="J31">
            <v>28</v>
          </cell>
          <cell r="K31">
            <v>2675802</v>
          </cell>
          <cell r="L31">
            <v>2676000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17306</v>
          </cell>
          <cell r="G32">
            <v>40</v>
          </cell>
          <cell r="H32" t="str">
            <v>0</v>
          </cell>
          <cell r="I32" t="str">
            <v>0</v>
          </cell>
          <cell r="J32">
            <v>40</v>
          </cell>
          <cell r="K32">
            <v>10384</v>
          </cell>
          <cell r="L32">
            <v>10000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5879</v>
          </cell>
          <cell r="G33">
            <v>40</v>
          </cell>
          <cell r="H33" t="str">
            <v>0</v>
          </cell>
          <cell r="I33" t="str">
            <v>0</v>
          </cell>
          <cell r="J33">
            <v>40</v>
          </cell>
          <cell r="K33">
            <v>3527</v>
          </cell>
          <cell r="L33">
            <v>3500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5879</v>
          </cell>
          <cell r="G34">
            <v>40</v>
          </cell>
          <cell r="H34" t="str">
            <v>0</v>
          </cell>
          <cell r="I34" t="str">
            <v>0</v>
          </cell>
          <cell r="J34">
            <v>40</v>
          </cell>
          <cell r="K34">
            <v>3527</v>
          </cell>
          <cell r="L34">
            <v>3500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5879</v>
          </cell>
          <cell r="G35">
            <v>40</v>
          </cell>
          <cell r="H35" t="str">
            <v>0</v>
          </cell>
          <cell r="I35" t="str">
            <v>0</v>
          </cell>
          <cell r="J35">
            <v>40</v>
          </cell>
          <cell r="K35">
            <v>3527</v>
          </cell>
          <cell r="L35">
            <v>3500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29395</v>
          </cell>
          <cell r="G36">
            <v>40</v>
          </cell>
          <cell r="H36" t="str">
            <v>0</v>
          </cell>
          <cell r="I36" t="str">
            <v>0</v>
          </cell>
          <cell r="J36">
            <v>40</v>
          </cell>
          <cell r="K36">
            <v>17637</v>
          </cell>
          <cell r="L36">
            <v>18000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26338</v>
          </cell>
          <cell r="G37">
            <v>29</v>
          </cell>
          <cell r="H37" t="str">
            <v>0</v>
          </cell>
          <cell r="I37" t="str">
            <v>0</v>
          </cell>
          <cell r="J37">
            <v>29</v>
          </cell>
          <cell r="K37">
            <v>18700</v>
          </cell>
          <cell r="L37">
            <v>19000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52676</v>
          </cell>
          <cell r="G38">
            <v>29</v>
          </cell>
          <cell r="H38" t="str">
            <v>0</v>
          </cell>
          <cell r="I38" t="str">
            <v>0</v>
          </cell>
          <cell r="J38">
            <v>29</v>
          </cell>
          <cell r="K38">
            <v>37400</v>
          </cell>
          <cell r="L38">
            <v>37000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33458</v>
          </cell>
          <cell r="G39">
            <v>29</v>
          </cell>
          <cell r="H39" t="str">
            <v>0</v>
          </cell>
          <cell r="I39" t="str">
            <v>0</v>
          </cell>
          <cell r="J39">
            <v>29</v>
          </cell>
          <cell r="K39">
            <v>23755</v>
          </cell>
          <cell r="L39">
            <v>24000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33458</v>
          </cell>
          <cell r="G40">
            <v>29</v>
          </cell>
          <cell r="H40" t="str">
            <v>0</v>
          </cell>
          <cell r="I40" t="str">
            <v>0</v>
          </cell>
          <cell r="J40">
            <v>29</v>
          </cell>
          <cell r="K40">
            <v>23755</v>
          </cell>
          <cell r="L40">
            <v>24000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66916</v>
          </cell>
          <cell r="G41">
            <v>29</v>
          </cell>
          <cell r="H41" t="str">
            <v>0</v>
          </cell>
          <cell r="I41" t="str">
            <v>0</v>
          </cell>
          <cell r="J41">
            <v>29</v>
          </cell>
          <cell r="K41">
            <v>47510</v>
          </cell>
          <cell r="L41">
            <v>48000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28807</v>
          </cell>
          <cell r="G42">
            <v>37</v>
          </cell>
          <cell r="H42" t="str">
            <v>0</v>
          </cell>
          <cell r="I42" t="str">
            <v>0</v>
          </cell>
          <cell r="J42">
            <v>37</v>
          </cell>
          <cell r="K42">
            <v>18148</v>
          </cell>
          <cell r="L42">
            <v>18000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16955</v>
          </cell>
          <cell r="G43">
            <v>40</v>
          </cell>
          <cell r="H43" t="str">
            <v>0</v>
          </cell>
          <cell r="I43" t="str">
            <v>0</v>
          </cell>
          <cell r="J43">
            <v>40</v>
          </cell>
          <cell r="K43">
            <v>10173</v>
          </cell>
          <cell r="L43">
            <v>10000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16955</v>
          </cell>
          <cell r="G44">
            <v>40</v>
          </cell>
          <cell r="H44" t="str">
            <v>0</v>
          </cell>
          <cell r="I44" t="str">
            <v>0</v>
          </cell>
          <cell r="J44">
            <v>40</v>
          </cell>
          <cell r="K44">
            <v>10173</v>
          </cell>
          <cell r="L44">
            <v>10000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24009</v>
          </cell>
          <cell r="G45">
            <v>40</v>
          </cell>
          <cell r="H45" t="str">
            <v>0</v>
          </cell>
          <cell r="I45" t="str">
            <v>0</v>
          </cell>
          <cell r="J45">
            <v>40</v>
          </cell>
          <cell r="K45">
            <v>14405</v>
          </cell>
          <cell r="L45">
            <v>14000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24009</v>
          </cell>
          <cell r="G46">
            <v>40</v>
          </cell>
          <cell r="H46" t="str">
            <v>0</v>
          </cell>
          <cell r="I46" t="str">
            <v>0</v>
          </cell>
          <cell r="J46">
            <v>40</v>
          </cell>
          <cell r="K46">
            <v>14405</v>
          </cell>
          <cell r="L46">
            <v>14000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3481</v>
          </cell>
          <cell r="G47">
            <v>40</v>
          </cell>
          <cell r="H47" t="str">
            <v>0</v>
          </cell>
          <cell r="I47" t="str">
            <v>0</v>
          </cell>
          <cell r="J47">
            <v>40</v>
          </cell>
          <cell r="K47">
            <v>2089</v>
          </cell>
          <cell r="L47">
            <v>2100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23069</v>
          </cell>
          <cell r="G48">
            <v>40</v>
          </cell>
          <cell r="H48" t="str">
            <v>0</v>
          </cell>
          <cell r="I48" t="str">
            <v>0</v>
          </cell>
          <cell r="J48">
            <v>40</v>
          </cell>
          <cell r="K48">
            <v>13841</v>
          </cell>
          <cell r="L48">
            <v>14000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28064</v>
          </cell>
          <cell r="G49">
            <v>40</v>
          </cell>
          <cell r="H49" t="str">
            <v>0</v>
          </cell>
          <cell r="I49" t="str">
            <v>0</v>
          </cell>
          <cell r="J49">
            <v>40</v>
          </cell>
          <cell r="K49">
            <v>16838</v>
          </cell>
          <cell r="L49">
            <v>17000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19894</v>
          </cell>
          <cell r="G50">
            <v>40</v>
          </cell>
          <cell r="H50" t="str">
            <v>0</v>
          </cell>
          <cell r="I50" t="str">
            <v>0</v>
          </cell>
          <cell r="J50">
            <v>40</v>
          </cell>
          <cell r="K50">
            <v>11936</v>
          </cell>
          <cell r="L50">
            <v>12000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19894</v>
          </cell>
          <cell r="G51">
            <v>40</v>
          </cell>
          <cell r="H51" t="str">
            <v>0</v>
          </cell>
          <cell r="I51" t="str">
            <v>0</v>
          </cell>
          <cell r="J51">
            <v>40</v>
          </cell>
          <cell r="K51">
            <v>11936</v>
          </cell>
          <cell r="L51">
            <v>12000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25844</v>
          </cell>
          <cell r="G52">
            <v>37</v>
          </cell>
          <cell r="H52" t="str">
            <v>0</v>
          </cell>
          <cell r="I52" t="str">
            <v>0</v>
          </cell>
          <cell r="J52">
            <v>37</v>
          </cell>
          <cell r="K52">
            <v>16282</v>
          </cell>
          <cell r="L52">
            <v>16000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4660</v>
          </cell>
          <cell r="G53">
            <v>50</v>
          </cell>
          <cell r="H53" t="str">
            <v>0</v>
          </cell>
          <cell r="I53" t="str">
            <v>0</v>
          </cell>
          <cell r="J53">
            <v>50</v>
          </cell>
          <cell r="K53">
            <v>2330</v>
          </cell>
          <cell r="L53">
            <v>2300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16955</v>
          </cell>
          <cell r="G54">
            <v>40</v>
          </cell>
          <cell r="H54" t="str">
            <v>0</v>
          </cell>
          <cell r="I54" t="str">
            <v>0</v>
          </cell>
          <cell r="J54">
            <v>40</v>
          </cell>
          <cell r="K54">
            <v>10173</v>
          </cell>
          <cell r="L54">
            <v>10000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23550</v>
          </cell>
          <cell r="G55">
            <v>40</v>
          </cell>
          <cell r="H55" t="str">
            <v>0</v>
          </cell>
          <cell r="I55" t="str">
            <v>0</v>
          </cell>
          <cell r="J55">
            <v>40</v>
          </cell>
          <cell r="K55">
            <v>14130</v>
          </cell>
          <cell r="L55">
            <v>14000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15097</v>
          </cell>
          <cell r="G56">
            <v>40</v>
          </cell>
          <cell r="H56" t="str">
            <v>0</v>
          </cell>
          <cell r="I56" t="str">
            <v>0</v>
          </cell>
          <cell r="J56">
            <v>40</v>
          </cell>
          <cell r="K56">
            <v>9058</v>
          </cell>
          <cell r="L56">
            <v>9100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15097</v>
          </cell>
          <cell r="G57">
            <v>40</v>
          </cell>
          <cell r="H57" t="str">
            <v>0</v>
          </cell>
          <cell r="I57" t="str">
            <v>0</v>
          </cell>
          <cell r="J57">
            <v>40</v>
          </cell>
          <cell r="K57">
            <v>9058</v>
          </cell>
          <cell r="L57">
            <v>9100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15097</v>
          </cell>
          <cell r="G58">
            <v>40</v>
          </cell>
          <cell r="H58" t="str">
            <v>0</v>
          </cell>
          <cell r="I58" t="str">
            <v>0</v>
          </cell>
          <cell r="J58">
            <v>40</v>
          </cell>
          <cell r="K58">
            <v>9058</v>
          </cell>
          <cell r="L58">
            <v>9100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10700</v>
          </cell>
          <cell r="G59">
            <v>40</v>
          </cell>
          <cell r="H59" t="str">
            <v>0</v>
          </cell>
          <cell r="I59" t="str">
            <v>0</v>
          </cell>
          <cell r="J59">
            <v>40</v>
          </cell>
          <cell r="K59">
            <v>6420</v>
          </cell>
          <cell r="L59">
            <v>6400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81365</v>
          </cell>
          <cell r="G60">
            <v>40</v>
          </cell>
          <cell r="H60" t="str">
            <v>0</v>
          </cell>
          <cell r="I60" t="str">
            <v>0</v>
          </cell>
          <cell r="J60">
            <v>40</v>
          </cell>
          <cell r="K60">
            <v>48819</v>
          </cell>
          <cell r="L60">
            <v>49000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58790</v>
          </cell>
          <cell r="G61">
            <v>40</v>
          </cell>
          <cell r="H61" t="str">
            <v>0</v>
          </cell>
          <cell r="I61" t="str">
            <v>0</v>
          </cell>
          <cell r="J61">
            <v>40</v>
          </cell>
          <cell r="K61">
            <v>35274</v>
          </cell>
          <cell r="L61">
            <v>35000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16461</v>
          </cell>
          <cell r="G62">
            <v>40</v>
          </cell>
          <cell r="H62" t="str">
            <v>0</v>
          </cell>
          <cell r="I62" t="str">
            <v>0</v>
          </cell>
          <cell r="J62">
            <v>40</v>
          </cell>
          <cell r="K62">
            <v>9877</v>
          </cell>
          <cell r="L62">
            <v>9900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22576</v>
          </cell>
          <cell r="G63">
            <v>40</v>
          </cell>
          <cell r="H63" t="str">
            <v>0</v>
          </cell>
          <cell r="I63" t="str">
            <v>0</v>
          </cell>
          <cell r="J63">
            <v>40</v>
          </cell>
          <cell r="K63">
            <v>13546</v>
          </cell>
          <cell r="L63">
            <v>14000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28807</v>
          </cell>
          <cell r="G64">
            <v>40</v>
          </cell>
          <cell r="H64" t="str">
            <v>0</v>
          </cell>
          <cell r="I64" t="str">
            <v>0</v>
          </cell>
          <cell r="J64">
            <v>40</v>
          </cell>
          <cell r="K64">
            <v>17284</v>
          </cell>
          <cell r="L64">
            <v>17000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4021</v>
          </cell>
          <cell r="G65">
            <v>40</v>
          </cell>
          <cell r="H65" t="str">
            <v>0</v>
          </cell>
          <cell r="I65" t="str">
            <v>0</v>
          </cell>
          <cell r="J65">
            <v>40</v>
          </cell>
          <cell r="K65">
            <v>2413</v>
          </cell>
          <cell r="L65">
            <v>2400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8653</v>
          </cell>
          <cell r="G66">
            <v>40</v>
          </cell>
          <cell r="H66" t="str">
            <v>0</v>
          </cell>
          <cell r="I66" t="str">
            <v>0</v>
          </cell>
          <cell r="J66">
            <v>40</v>
          </cell>
          <cell r="K66">
            <v>5192</v>
          </cell>
          <cell r="L66">
            <v>5200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44522</v>
          </cell>
          <cell r="G67">
            <v>40</v>
          </cell>
          <cell r="H67" t="str">
            <v>0</v>
          </cell>
          <cell r="I67" t="str">
            <v>0</v>
          </cell>
          <cell r="J67">
            <v>40</v>
          </cell>
          <cell r="K67">
            <v>26713</v>
          </cell>
          <cell r="L67">
            <v>27000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6819</v>
          </cell>
          <cell r="G68">
            <v>61</v>
          </cell>
          <cell r="H68" t="str">
            <v>0</v>
          </cell>
          <cell r="I68" t="str">
            <v>0</v>
          </cell>
          <cell r="J68">
            <v>61</v>
          </cell>
          <cell r="K68">
            <v>2659</v>
          </cell>
          <cell r="L68">
            <v>2700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213560</v>
          </cell>
          <cell r="G69">
            <v>37</v>
          </cell>
          <cell r="H69" t="str">
            <v>0</v>
          </cell>
          <cell r="I69" t="str">
            <v>0</v>
          </cell>
          <cell r="J69">
            <v>37</v>
          </cell>
          <cell r="K69">
            <v>134543</v>
          </cell>
          <cell r="L69">
            <v>135000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32922</v>
          </cell>
          <cell r="G70">
            <v>37</v>
          </cell>
          <cell r="H70" t="str">
            <v>0</v>
          </cell>
          <cell r="I70" t="str">
            <v>0</v>
          </cell>
          <cell r="J70">
            <v>37</v>
          </cell>
          <cell r="K70">
            <v>20741</v>
          </cell>
          <cell r="L70">
            <v>21000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20339</v>
          </cell>
          <cell r="G71">
            <v>33</v>
          </cell>
          <cell r="H71" t="str">
            <v>0</v>
          </cell>
          <cell r="I71" t="str">
            <v>0</v>
          </cell>
          <cell r="J71">
            <v>33</v>
          </cell>
          <cell r="K71">
            <v>13627</v>
          </cell>
          <cell r="L71">
            <v>14000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32099</v>
          </cell>
          <cell r="G72">
            <v>33</v>
          </cell>
          <cell r="H72" t="str">
            <v>0</v>
          </cell>
          <cell r="I72" t="str">
            <v>0</v>
          </cell>
          <cell r="J72">
            <v>33</v>
          </cell>
          <cell r="K72">
            <v>21506</v>
          </cell>
          <cell r="L72">
            <v>22000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16955</v>
          </cell>
          <cell r="G73">
            <v>33</v>
          </cell>
          <cell r="H73" t="str">
            <v>0</v>
          </cell>
          <cell r="I73" t="str">
            <v>0</v>
          </cell>
          <cell r="J73">
            <v>33</v>
          </cell>
          <cell r="K73">
            <v>11360</v>
          </cell>
          <cell r="L73">
            <v>11000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32452</v>
          </cell>
          <cell r="G74">
            <v>30</v>
          </cell>
          <cell r="H74" t="str">
            <v>0</v>
          </cell>
          <cell r="I74" t="str">
            <v>0</v>
          </cell>
          <cell r="J74">
            <v>30</v>
          </cell>
          <cell r="K74">
            <v>22716</v>
          </cell>
          <cell r="L74">
            <v>23000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44681</v>
          </cell>
          <cell r="G75">
            <v>23</v>
          </cell>
          <cell r="H75" t="str">
            <v>0</v>
          </cell>
          <cell r="I75" t="str">
            <v>0</v>
          </cell>
          <cell r="J75">
            <v>23</v>
          </cell>
          <cell r="K75">
            <v>34404</v>
          </cell>
          <cell r="L75">
            <v>34000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165924</v>
          </cell>
          <cell r="G76">
            <v>15</v>
          </cell>
          <cell r="H76" t="str">
            <v>0</v>
          </cell>
          <cell r="I76" t="str">
            <v>0</v>
          </cell>
          <cell r="J76">
            <v>15</v>
          </cell>
          <cell r="K76">
            <v>141035</v>
          </cell>
          <cell r="L76">
            <v>141000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34614</v>
          </cell>
          <cell r="G77">
            <v>11</v>
          </cell>
          <cell r="H77" t="str">
            <v>0</v>
          </cell>
          <cell r="I77" t="str">
            <v>0</v>
          </cell>
          <cell r="J77">
            <v>11</v>
          </cell>
          <cell r="K77">
            <v>30806</v>
          </cell>
          <cell r="L77">
            <v>31000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52087</v>
          </cell>
          <cell r="G78">
            <v>11</v>
          </cell>
          <cell r="H78" t="str">
            <v>0</v>
          </cell>
          <cell r="I78" t="str">
            <v>0</v>
          </cell>
          <cell r="J78">
            <v>11</v>
          </cell>
          <cell r="K78">
            <v>46357</v>
          </cell>
          <cell r="L78">
            <v>46000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34614</v>
          </cell>
          <cell r="G79">
            <v>11</v>
          </cell>
          <cell r="H79" t="str">
            <v>0</v>
          </cell>
          <cell r="I79" t="str">
            <v>0</v>
          </cell>
          <cell r="J79">
            <v>11</v>
          </cell>
          <cell r="K79">
            <v>30806</v>
          </cell>
          <cell r="L79">
            <v>31000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19901</v>
          </cell>
          <cell r="G83">
            <v>11</v>
          </cell>
          <cell r="H83" t="str">
            <v>0</v>
          </cell>
          <cell r="I83" t="str">
            <v>0</v>
          </cell>
          <cell r="J83">
            <v>11</v>
          </cell>
          <cell r="K83">
            <v>17712</v>
          </cell>
          <cell r="L83">
            <v>18000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16343</v>
          </cell>
          <cell r="G84">
            <v>11</v>
          </cell>
          <cell r="H84" t="str">
            <v>0</v>
          </cell>
          <cell r="I84" t="str">
            <v>0</v>
          </cell>
          <cell r="J84">
            <v>11</v>
          </cell>
          <cell r="K84">
            <v>14545</v>
          </cell>
          <cell r="L84">
            <v>15000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49383</v>
          </cell>
          <cell r="G85">
            <v>11</v>
          </cell>
          <cell r="H85" t="str">
            <v>0</v>
          </cell>
          <cell r="I85" t="str">
            <v>0</v>
          </cell>
          <cell r="J85">
            <v>11</v>
          </cell>
          <cell r="K85">
            <v>43951</v>
          </cell>
          <cell r="L85">
            <v>44000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28807</v>
          </cell>
          <cell r="G86">
            <v>13</v>
          </cell>
          <cell r="H86" t="str">
            <v>0</v>
          </cell>
          <cell r="I86" t="str">
            <v>0</v>
          </cell>
          <cell r="J86">
            <v>13</v>
          </cell>
          <cell r="K86">
            <v>25062</v>
          </cell>
          <cell r="L86">
            <v>25000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52287</v>
          </cell>
          <cell r="G87">
            <v>8</v>
          </cell>
          <cell r="H87" t="str">
            <v>0</v>
          </cell>
          <cell r="I87" t="str">
            <v>0</v>
          </cell>
          <cell r="J87">
            <v>8</v>
          </cell>
          <cell r="K87">
            <v>48104</v>
          </cell>
          <cell r="L87">
            <v>48000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21689</v>
          </cell>
          <cell r="G88">
            <v>7</v>
          </cell>
          <cell r="H88" t="str">
            <v>0</v>
          </cell>
          <cell r="I88" t="str">
            <v>0</v>
          </cell>
          <cell r="J88">
            <v>7</v>
          </cell>
          <cell r="K88">
            <v>20171</v>
          </cell>
          <cell r="L88">
            <v>20000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25374</v>
          </cell>
          <cell r="G89">
            <v>7</v>
          </cell>
          <cell r="H89" t="str">
            <v>0</v>
          </cell>
          <cell r="I89" t="str">
            <v>0</v>
          </cell>
          <cell r="J89">
            <v>7</v>
          </cell>
          <cell r="K89">
            <v>23598</v>
          </cell>
          <cell r="L89">
            <v>24000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33757</v>
          </cell>
          <cell r="G90">
            <v>8</v>
          </cell>
          <cell r="H90" t="str">
            <v>0</v>
          </cell>
          <cell r="I90" t="str">
            <v>0</v>
          </cell>
          <cell r="J90">
            <v>8</v>
          </cell>
          <cell r="K90">
            <v>31056</v>
          </cell>
          <cell r="L90">
            <v>31000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9322</v>
          </cell>
          <cell r="G91">
            <v>23</v>
          </cell>
          <cell r="H91" t="str">
            <v>0</v>
          </cell>
          <cell r="I91" t="str">
            <v>0</v>
          </cell>
          <cell r="J91">
            <v>23</v>
          </cell>
          <cell r="K91">
            <v>7178</v>
          </cell>
          <cell r="L91">
            <v>7200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9114</v>
          </cell>
          <cell r="G92">
            <v>29</v>
          </cell>
          <cell r="H92" t="str">
            <v>0</v>
          </cell>
          <cell r="I92" t="str">
            <v>0</v>
          </cell>
          <cell r="J92">
            <v>29</v>
          </cell>
          <cell r="K92">
            <v>6471</v>
          </cell>
          <cell r="L92">
            <v>6500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19559</v>
          </cell>
          <cell r="G93">
            <v>8</v>
          </cell>
          <cell r="H93" t="str">
            <v>0</v>
          </cell>
          <cell r="I93" t="str">
            <v>0</v>
          </cell>
          <cell r="J93">
            <v>8</v>
          </cell>
          <cell r="K93">
            <v>17994</v>
          </cell>
          <cell r="L93">
            <v>18000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19002</v>
          </cell>
          <cell r="G94">
            <v>24</v>
          </cell>
          <cell r="H94" t="str">
            <v>0</v>
          </cell>
          <cell r="I94" t="str">
            <v>0</v>
          </cell>
          <cell r="J94">
            <v>24</v>
          </cell>
          <cell r="K94">
            <v>14442</v>
          </cell>
          <cell r="L94">
            <v>14000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12407</v>
          </cell>
          <cell r="G95">
            <v>38</v>
          </cell>
          <cell r="H95" t="str">
            <v>0</v>
          </cell>
          <cell r="I95" t="str">
            <v>0</v>
          </cell>
          <cell r="J95">
            <v>38</v>
          </cell>
          <cell r="K95">
            <v>7692</v>
          </cell>
          <cell r="L95">
            <v>7700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12203</v>
          </cell>
          <cell r="G96">
            <v>3</v>
          </cell>
          <cell r="H96" t="str">
            <v>0</v>
          </cell>
          <cell r="I96" t="str">
            <v>0</v>
          </cell>
          <cell r="J96">
            <v>3</v>
          </cell>
          <cell r="K96">
            <v>11837</v>
          </cell>
          <cell r="L96">
            <v>12000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9322</v>
          </cell>
          <cell r="G97">
            <v>3</v>
          </cell>
          <cell r="H97" t="str">
            <v>0</v>
          </cell>
          <cell r="I97" t="str">
            <v>0</v>
          </cell>
          <cell r="J97">
            <v>3</v>
          </cell>
          <cell r="K97">
            <v>9042</v>
          </cell>
          <cell r="L97">
            <v>9000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9322</v>
          </cell>
          <cell r="G98">
            <v>3</v>
          </cell>
          <cell r="H98" t="str">
            <v>0</v>
          </cell>
          <cell r="I98" t="str">
            <v>0</v>
          </cell>
          <cell r="J98">
            <v>3</v>
          </cell>
          <cell r="K98">
            <v>9042</v>
          </cell>
          <cell r="L98">
            <v>9000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9322</v>
          </cell>
          <cell r="G99">
            <v>3</v>
          </cell>
          <cell r="H99" t="str">
            <v>0</v>
          </cell>
          <cell r="I99" t="str">
            <v>0</v>
          </cell>
          <cell r="J99">
            <v>3</v>
          </cell>
          <cell r="K99">
            <v>9042</v>
          </cell>
          <cell r="L99">
            <v>9000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12203</v>
          </cell>
          <cell r="G100">
            <v>3</v>
          </cell>
          <cell r="H100" t="str">
            <v>0</v>
          </cell>
          <cell r="I100" t="str">
            <v>0</v>
          </cell>
          <cell r="J100">
            <v>3</v>
          </cell>
          <cell r="K100">
            <v>11837</v>
          </cell>
          <cell r="L100">
            <v>12000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44681</v>
          </cell>
          <cell r="G101">
            <v>23</v>
          </cell>
          <cell r="H101" t="str">
            <v>0</v>
          </cell>
          <cell r="I101" t="str">
            <v>0</v>
          </cell>
          <cell r="J101">
            <v>23</v>
          </cell>
          <cell r="K101">
            <v>34404</v>
          </cell>
          <cell r="L101">
            <v>34000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55169</v>
          </cell>
          <cell r="G102">
            <v>8</v>
          </cell>
          <cell r="H102" t="str">
            <v>0</v>
          </cell>
          <cell r="I102" t="str">
            <v>0</v>
          </cell>
          <cell r="J102">
            <v>8</v>
          </cell>
          <cell r="K102">
            <v>50755</v>
          </cell>
          <cell r="L102">
            <v>51000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84870</v>
          </cell>
          <cell r="G103">
            <v>40</v>
          </cell>
          <cell r="H103" t="str">
            <v>0</v>
          </cell>
          <cell r="I103" t="str">
            <v>0</v>
          </cell>
          <cell r="J103">
            <v>40</v>
          </cell>
          <cell r="K103">
            <v>50922</v>
          </cell>
          <cell r="L103">
            <v>51000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24009</v>
          </cell>
          <cell r="G104">
            <v>90</v>
          </cell>
          <cell r="H104" t="str">
            <v>0</v>
          </cell>
          <cell r="I104" t="str">
            <v>0</v>
          </cell>
          <cell r="J104">
            <v>90</v>
          </cell>
          <cell r="K104">
            <v>2401</v>
          </cell>
          <cell r="L104">
            <v>2400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11076</v>
          </cell>
          <cell r="G105">
            <v>82</v>
          </cell>
          <cell r="H105" t="str">
            <v>0</v>
          </cell>
          <cell r="I105" t="str">
            <v>0</v>
          </cell>
          <cell r="J105">
            <v>82</v>
          </cell>
          <cell r="K105">
            <v>1994</v>
          </cell>
          <cell r="L105">
            <v>2000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52287</v>
          </cell>
          <cell r="G106">
            <v>8</v>
          </cell>
          <cell r="H106" t="str">
            <v>0</v>
          </cell>
          <cell r="I106" t="str">
            <v>0</v>
          </cell>
          <cell r="J106">
            <v>8</v>
          </cell>
          <cell r="K106">
            <v>48104</v>
          </cell>
          <cell r="L106">
            <v>48000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52287</v>
          </cell>
          <cell r="G107">
            <v>8</v>
          </cell>
          <cell r="H107" t="str">
            <v>0</v>
          </cell>
          <cell r="I107" t="str">
            <v>0</v>
          </cell>
          <cell r="J107">
            <v>8</v>
          </cell>
          <cell r="K107">
            <v>48104</v>
          </cell>
          <cell r="L107">
            <v>48000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12391</v>
          </cell>
          <cell r="G108">
            <v>4</v>
          </cell>
          <cell r="H108" t="str">
            <v>0</v>
          </cell>
          <cell r="I108" t="str">
            <v>0</v>
          </cell>
          <cell r="J108">
            <v>4</v>
          </cell>
          <cell r="K108">
            <v>11895</v>
          </cell>
          <cell r="L108">
            <v>12000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9876</v>
          </cell>
          <cell r="G109">
            <v>4</v>
          </cell>
          <cell r="H109" t="str">
            <v>0</v>
          </cell>
          <cell r="I109" t="str">
            <v>0</v>
          </cell>
          <cell r="J109">
            <v>4</v>
          </cell>
          <cell r="K109">
            <v>9481</v>
          </cell>
          <cell r="L109">
            <v>9500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15756</v>
          </cell>
          <cell r="G110">
            <v>4</v>
          </cell>
          <cell r="H110" t="str">
            <v>0</v>
          </cell>
          <cell r="I110" t="str">
            <v>0</v>
          </cell>
          <cell r="J110">
            <v>4</v>
          </cell>
          <cell r="K110">
            <v>15126</v>
          </cell>
          <cell r="L110">
            <v>15000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13875</v>
          </cell>
          <cell r="G111">
            <v>25</v>
          </cell>
          <cell r="H111" t="str">
            <v>0</v>
          </cell>
          <cell r="I111" t="str">
            <v>0</v>
          </cell>
          <cell r="J111">
            <v>25</v>
          </cell>
          <cell r="K111">
            <v>10406</v>
          </cell>
          <cell r="L111">
            <v>10000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15097</v>
          </cell>
          <cell r="G112">
            <v>25</v>
          </cell>
          <cell r="H112" t="str">
            <v>0</v>
          </cell>
          <cell r="I112" t="str">
            <v>0</v>
          </cell>
          <cell r="J112">
            <v>25</v>
          </cell>
          <cell r="K112">
            <v>11323</v>
          </cell>
          <cell r="L112">
            <v>11000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15097</v>
          </cell>
          <cell r="G113">
            <v>25</v>
          </cell>
          <cell r="H113" t="str">
            <v>0</v>
          </cell>
          <cell r="I113" t="str">
            <v>0</v>
          </cell>
          <cell r="J113">
            <v>25</v>
          </cell>
          <cell r="K113">
            <v>11323</v>
          </cell>
          <cell r="L113">
            <v>11000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13875</v>
          </cell>
          <cell r="G114">
            <v>25</v>
          </cell>
          <cell r="H114" t="str">
            <v>0</v>
          </cell>
          <cell r="I114" t="str">
            <v>0</v>
          </cell>
          <cell r="J114">
            <v>25</v>
          </cell>
          <cell r="K114">
            <v>10406</v>
          </cell>
          <cell r="L114">
            <v>10000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8653</v>
          </cell>
          <cell r="G115">
            <v>25</v>
          </cell>
          <cell r="H115" t="str">
            <v>0</v>
          </cell>
          <cell r="I115" t="str">
            <v>0</v>
          </cell>
          <cell r="J115">
            <v>25</v>
          </cell>
          <cell r="K115">
            <v>6490</v>
          </cell>
          <cell r="L115">
            <v>6500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33757</v>
          </cell>
          <cell r="G116">
            <v>25</v>
          </cell>
          <cell r="H116" t="str">
            <v>0</v>
          </cell>
          <cell r="I116" t="str">
            <v>0</v>
          </cell>
          <cell r="J116">
            <v>25</v>
          </cell>
          <cell r="K116">
            <v>25318</v>
          </cell>
          <cell r="L116">
            <v>25000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15097</v>
          </cell>
          <cell r="G117">
            <v>25</v>
          </cell>
          <cell r="H117" t="str">
            <v>0</v>
          </cell>
          <cell r="I117" t="str">
            <v>0</v>
          </cell>
          <cell r="J117">
            <v>25</v>
          </cell>
          <cell r="K117">
            <v>11323</v>
          </cell>
          <cell r="L117">
            <v>11000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26008</v>
          </cell>
          <cell r="G118">
            <v>25</v>
          </cell>
          <cell r="H118" t="str">
            <v>0</v>
          </cell>
          <cell r="I118" t="str">
            <v>0</v>
          </cell>
          <cell r="J118">
            <v>25</v>
          </cell>
          <cell r="K118">
            <v>19506</v>
          </cell>
          <cell r="L118">
            <v>20000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15097</v>
          </cell>
          <cell r="G119">
            <v>25</v>
          </cell>
          <cell r="H119" t="str">
            <v>0</v>
          </cell>
          <cell r="I119" t="str">
            <v>0</v>
          </cell>
          <cell r="J119">
            <v>25</v>
          </cell>
          <cell r="K119">
            <v>11323</v>
          </cell>
          <cell r="L119">
            <v>11000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15097</v>
          </cell>
          <cell r="G120">
            <v>25</v>
          </cell>
          <cell r="H120" t="str">
            <v>0</v>
          </cell>
          <cell r="I120" t="str">
            <v>0</v>
          </cell>
          <cell r="J120">
            <v>25</v>
          </cell>
          <cell r="K120">
            <v>11323</v>
          </cell>
          <cell r="L120">
            <v>11000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25374</v>
          </cell>
          <cell r="G121">
            <v>7</v>
          </cell>
          <cell r="H121" t="str">
            <v>0</v>
          </cell>
          <cell r="I121" t="str">
            <v>0</v>
          </cell>
          <cell r="J121">
            <v>7</v>
          </cell>
          <cell r="K121">
            <v>23598</v>
          </cell>
          <cell r="L121">
            <v>24000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25374</v>
          </cell>
          <cell r="G122">
            <v>7</v>
          </cell>
          <cell r="H122" t="str">
            <v>0</v>
          </cell>
          <cell r="I122" t="str">
            <v>0</v>
          </cell>
          <cell r="J122">
            <v>7</v>
          </cell>
          <cell r="K122">
            <v>23598</v>
          </cell>
          <cell r="L122">
            <v>24000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25374</v>
          </cell>
          <cell r="G123">
            <v>7</v>
          </cell>
          <cell r="H123" t="str">
            <v>0</v>
          </cell>
          <cell r="I123" t="str">
            <v>0</v>
          </cell>
          <cell r="J123">
            <v>7</v>
          </cell>
          <cell r="K123">
            <v>23598</v>
          </cell>
          <cell r="L123">
            <v>24000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25374</v>
          </cell>
          <cell r="G124">
            <v>7</v>
          </cell>
          <cell r="H124" t="str">
            <v>0</v>
          </cell>
          <cell r="I124" t="str">
            <v>0</v>
          </cell>
          <cell r="J124">
            <v>7</v>
          </cell>
          <cell r="K124">
            <v>23598</v>
          </cell>
          <cell r="L124">
            <v>24000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14580</v>
          </cell>
          <cell r="G125">
            <v>7</v>
          </cell>
          <cell r="H125" t="str">
            <v>0</v>
          </cell>
          <cell r="I125" t="str">
            <v>0</v>
          </cell>
          <cell r="J125">
            <v>7</v>
          </cell>
          <cell r="K125">
            <v>13559</v>
          </cell>
          <cell r="L125">
            <v>14000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14580</v>
          </cell>
          <cell r="G126">
            <v>7</v>
          </cell>
          <cell r="H126" t="str">
            <v>0</v>
          </cell>
          <cell r="I126" t="str">
            <v>0</v>
          </cell>
          <cell r="J126">
            <v>7</v>
          </cell>
          <cell r="K126">
            <v>13559</v>
          </cell>
          <cell r="L126">
            <v>14000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14580</v>
          </cell>
          <cell r="G127">
            <v>7</v>
          </cell>
          <cell r="H127" t="str">
            <v>0</v>
          </cell>
          <cell r="I127" t="str">
            <v>0</v>
          </cell>
          <cell r="J127">
            <v>7</v>
          </cell>
          <cell r="K127">
            <v>13559</v>
          </cell>
          <cell r="L127">
            <v>14000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4421</v>
          </cell>
          <cell r="G128">
            <v>97</v>
          </cell>
          <cell r="H128" t="str">
            <v>0</v>
          </cell>
          <cell r="I128" t="str">
            <v>0</v>
          </cell>
          <cell r="J128">
            <v>97</v>
          </cell>
          <cell r="K128">
            <v>133</v>
          </cell>
          <cell r="L128">
            <v>130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14746</v>
          </cell>
          <cell r="G129">
            <v>97</v>
          </cell>
          <cell r="H129" t="str">
            <v>0</v>
          </cell>
          <cell r="I129" t="str">
            <v>0</v>
          </cell>
          <cell r="J129">
            <v>97</v>
          </cell>
          <cell r="K129">
            <v>442</v>
          </cell>
          <cell r="L129">
            <v>440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24009</v>
          </cell>
          <cell r="G130">
            <v>97</v>
          </cell>
          <cell r="H130" t="str">
            <v>0</v>
          </cell>
          <cell r="I130" t="str">
            <v>0</v>
          </cell>
          <cell r="J130">
            <v>97</v>
          </cell>
          <cell r="K130">
            <v>720</v>
          </cell>
          <cell r="L130">
            <v>720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16955</v>
          </cell>
          <cell r="G131">
            <v>15</v>
          </cell>
          <cell r="H131" t="str">
            <v>0</v>
          </cell>
          <cell r="I131" t="str">
            <v>0</v>
          </cell>
          <cell r="J131">
            <v>15</v>
          </cell>
          <cell r="K131">
            <v>14412</v>
          </cell>
          <cell r="L131">
            <v>14000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13875</v>
          </cell>
          <cell r="G132">
            <v>93</v>
          </cell>
          <cell r="H132" t="str">
            <v>0</v>
          </cell>
          <cell r="I132" t="str">
            <v>0</v>
          </cell>
          <cell r="J132">
            <v>93</v>
          </cell>
          <cell r="K132">
            <v>971</v>
          </cell>
          <cell r="L132">
            <v>970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11076</v>
          </cell>
          <cell r="G133">
            <v>82</v>
          </cell>
          <cell r="H133" t="str">
            <v>0</v>
          </cell>
          <cell r="I133" t="str">
            <v>0</v>
          </cell>
          <cell r="J133">
            <v>82</v>
          </cell>
          <cell r="K133">
            <v>1994</v>
          </cell>
          <cell r="L133">
            <v>2000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39953</v>
          </cell>
          <cell r="G134">
            <v>40</v>
          </cell>
          <cell r="H134" t="str">
            <v>0</v>
          </cell>
          <cell r="I134" t="str">
            <v>0</v>
          </cell>
          <cell r="J134">
            <v>40</v>
          </cell>
          <cell r="K134">
            <v>23972</v>
          </cell>
          <cell r="L134">
            <v>24000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60710</v>
          </cell>
          <cell r="G135">
            <v>33</v>
          </cell>
          <cell r="H135" t="str">
            <v>0</v>
          </cell>
          <cell r="I135" t="str">
            <v>0</v>
          </cell>
          <cell r="J135">
            <v>33</v>
          </cell>
          <cell r="K135">
            <v>40676</v>
          </cell>
          <cell r="L135">
            <v>41000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18593</v>
          </cell>
          <cell r="G136">
            <v>33</v>
          </cell>
          <cell r="H136" t="str">
            <v>0</v>
          </cell>
          <cell r="I136" t="str">
            <v>0</v>
          </cell>
          <cell r="J136">
            <v>33</v>
          </cell>
          <cell r="K136">
            <v>12457</v>
          </cell>
          <cell r="L136">
            <v>12000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56259</v>
          </cell>
          <cell r="G137">
            <v>74</v>
          </cell>
          <cell r="H137" t="str">
            <v>0</v>
          </cell>
          <cell r="I137" t="str">
            <v>0</v>
          </cell>
          <cell r="J137">
            <v>74</v>
          </cell>
          <cell r="K137">
            <v>14627</v>
          </cell>
          <cell r="L137">
            <v>15000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10305</v>
          </cell>
          <cell r="G138">
            <v>60</v>
          </cell>
          <cell r="H138" t="str">
            <v>0</v>
          </cell>
          <cell r="I138" t="str">
            <v>0</v>
          </cell>
          <cell r="J138">
            <v>60</v>
          </cell>
          <cell r="K138">
            <v>4122</v>
          </cell>
          <cell r="L138">
            <v>4100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44681</v>
          </cell>
          <cell r="G139">
            <v>23</v>
          </cell>
          <cell r="H139" t="str">
            <v>0</v>
          </cell>
          <cell r="I139" t="str">
            <v>0</v>
          </cell>
          <cell r="J139">
            <v>23</v>
          </cell>
          <cell r="K139">
            <v>34404</v>
          </cell>
          <cell r="L139">
            <v>34000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13875</v>
          </cell>
          <cell r="G140">
            <v>92</v>
          </cell>
          <cell r="H140" t="str">
            <v>0</v>
          </cell>
          <cell r="I140" t="str">
            <v>0</v>
          </cell>
          <cell r="J140">
            <v>92</v>
          </cell>
          <cell r="K140">
            <v>1110</v>
          </cell>
          <cell r="L140">
            <v>1100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14746</v>
          </cell>
          <cell r="G141">
            <v>92</v>
          </cell>
          <cell r="H141" t="str">
            <v>0</v>
          </cell>
          <cell r="I141" t="str">
            <v>0</v>
          </cell>
          <cell r="J141">
            <v>92</v>
          </cell>
          <cell r="K141">
            <v>1180</v>
          </cell>
          <cell r="L141">
            <v>1200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60508</v>
          </cell>
          <cell r="G142">
            <v>92</v>
          </cell>
          <cell r="H142" t="str">
            <v>0</v>
          </cell>
          <cell r="I142" t="str">
            <v>0</v>
          </cell>
          <cell r="J142">
            <v>92</v>
          </cell>
          <cell r="K142">
            <v>4841</v>
          </cell>
          <cell r="L142">
            <v>4800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24009</v>
          </cell>
          <cell r="G143">
            <v>92</v>
          </cell>
          <cell r="H143" t="str">
            <v>0</v>
          </cell>
          <cell r="I143" t="str">
            <v>0</v>
          </cell>
          <cell r="J143">
            <v>92</v>
          </cell>
          <cell r="K143">
            <v>1921</v>
          </cell>
          <cell r="L143">
            <v>1900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24009</v>
          </cell>
          <cell r="G144">
            <v>92</v>
          </cell>
          <cell r="H144" t="str">
            <v>0</v>
          </cell>
          <cell r="I144" t="str">
            <v>0</v>
          </cell>
          <cell r="J144">
            <v>92</v>
          </cell>
          <cell r="K144">
            <v>1921</v>
          </cell>
          <cell r="L144">
            <v>1900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24009</v>
          </cell>
          <cell r="G145">
            <v>92</v>
          </cell>
          <cell r="H145" t="str">
            <v>0</v>
          </cell>
          <cell r="I145" t="str">
            <v>0</v>
          </cell>
          <cell r="J145">
            <v>92</v>
          </cell>
          <cell r="K145">
            <v>1921</v>
          </cell>
          <cell r="L145">
            <v>1900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24009</v>
          </cell>
          <cell r="G146">
            <v>92</v>
          </cell>
          <cell r="H146" t="str">
            <v>0</v>
          </cell>
          <cell r="I146" t="str">
            <v>0</v>
          </cell>
          <cell r="J146">
            <v>92</v>
          </cell>
          <cell r="K146">
            <v>1921</v>
          </cell>
          <cell r="L146">
            <v>1900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44522</v>
          </cell>
          <cell r="G147">
            <v>90</v>
          </cell>
          <cell r="H147" t="str">
            <v>0</v>
          </cell>
          <cell r="I147" t="str">
            <v>0</v>
          </cell>
          <cell r="J147">
            <v>90</v>
          </cell>
          <cell r="K147">
            <v>4452</v>
          </cell>
          <cell r="L147">
            <v>4500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16955</v>
          </cell>
          <cell r="G148">
            <v>88</v>
          </cell>
          <cell r="H148" t="str">
            <v>0</v>
          </cell>
          <cell r="I148" t="str">
            <v>0</v>
          </cell>
          <cell r="J148">
            <v>88</v>
          </cell>
          <cell r="K148">
            <v>2035</v>
          </cell>
          <cell r="L148">
            <v>2000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8612</v>
          </cell>
          <cell r="G149">
            <v>88</v>
          </cell>
          <cell r="H149" t="str">
            <v>0</v>
          </cell>
          <cell r="I149" t="str">
            <v>0</v>
          </cell>
          <cell r="J149">
            <v>88</v>
          </cell>
          <cell r="K149">
            <v>1033</v>
          </cell>
          <cell r="L149">
            <v>1000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16955</v>
          </cell>
          <cell r="G150">
            <v>87</v>
          </cell>
          <cell r="H150" t="str">
            <v>0</v>
          </cell>
          <cell r="I150" t="str">
            <v>0</v>
          </cell>
          <cell r="J150">
            <v>87</v>
          </cell>
          <cell r="K150">
            <v>2204</v>
          </cell>
          <cell r="L150">
            <v>2200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13475</v>
          </cell>
          <cell r="G151">
            <v>82</v>
          </cell>
          <cell r="H151" t="str">
            <v>0</v>
          </cell>
          <cell r="I151" t="str">
            <v>0</v>
          </cell>
          <cell r="J151">
            <v>82</v>
          </cell>
          <cell r="K151">
            <v>2426</v>
          </cell>
          <cell r="L151">
            <v>2400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16955</v>
          </cell>
          <cell r="G152">
            <v>82</v>
          </cell>
          <cell r="H152" t="str">
            <v>0</v>
          </cell>
          <cell r="I152" t="str">
            <v>0</v>
          </cell>
          <cell r="J152">
            <v>82</v>
          </cell>
          <cell r="K152">
            <v>3052</v>
          </cell>
          <cell r="L152">
            <v>3100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227871</v>
          </cell>
          <cell r="G153">
            <v>82</v>
          </cell>
          <cell r="H153" t="str">
            <v>0</v>
          </cell>
          <cell r="I153" t="str">
            <v>0</v>
          </cell>
          <cell r="J153">
            <v>82</v>
          </cell>
          <cell r="K153">
            <v>41017</v>
          </cell>
          <cell r="L153">
            <v>41000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5096</v>
          </cell>
          <cell r="G154">
            <v>65</v>
          </cell>
          <cell r="H154" t="str">
            <v>0</v>
          </cell>
          <cell r="I154" t="str">
            <v>0</v>
          </cell>
          <cell r="J154">
            <v>65</v>
          </cell>
          <cell r="K154">
            <v>1784</v>
          </cell>
          <cell r="L154">
            <v>1800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32898</v>
          </cell>
          <cell r="G155">
            <v>57</v>
          </cell>
          <cell r="H155" t="str">
            <v>0</v>
          </cell>
          <cell r="I155" t="str">
            <v>0</v>
          </cell>
          <cell r="J155">
            <v>57</v>
          </cell>
          <cell r="K155">
            <v>14146</v>
          </cell>
          <cell r="L155">
            <v>14000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25374</v>
          </cell>
          <cell r="G156">
            <v>57</v>
          </cell>
          <cell r="H156" t="str">
            <v>0</v>
          </cell>
          <cell r="I156" t="str">
            <v>0</v>
          </cell>
          <cell r="J156">
            <v>57</v>
          </cell>
          <cell r="K156">
            <v>10911</v>
          </cell>
          <cell r="L156">
            <v>11000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25374</v>
          </cell>
          <cell r="G157">
            <v>57</v>
          </cell>
          <cell r="H157" t="str">
            <v>0</v>
          </cell>
          <cell r="I157" t="str">
            <v>0</v>
          </cell>
          <cell r="J157">
            <v>57</v>
          </cell>
          <cell r="K157">
            <v>10911</v>
          </cell>
          <cell r="L157">
            <v>11000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25374</v>
          </cell>
          <cell r="G158">
            <v>57</v>
          </cell>
          <cell r="H158" t="str">
            <v>0</v>
          </cell>
          <cell r="I158" t="str">
            <v>0</v>
          </cell>
          <cell r="J158">
            <v>57</v>
          </cell>
          <cell r="K158">
            <v>10911</v>
          </cell>
          <cell r="L158">
            <v>11000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25928</v>
          </cell>
          <cell r="G159">
            <v>40</v>
          </cell>
          <cell r="H159" t="str">
            <v>0</v>
          </cell>
          <cell r="I159" t="str">
            <v>0</v>
          </cell>
          <cell r="J159">
            <v>40</v>
          </cell>
          <cell r="K159">
            <v>15557</v>
          </cell>
          <cell r="L159">
            <v>16000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227871</v>
          </cell>
          <cell r="G160">
            <v>40</v>
          </cell>
          <cell r="H160" t="str">
            <v>0</v>
          </cell>
          <cell r="I160" t="str">
            <v>0</v>
          </cell>
          <cell r="J160">
            <v>40</v>
          </cell>
          <cell r="K160">
            <v>136723</v>
          </cell>
          <cell r="L160">
            <v>137000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19894</v>
          </cell>
          <cell r="G161">
            <v>40</v>
          </cell>
          <cell r="H161" t="str">
            <v>0</v>
          </cell>
          <cell r="I161" t="str">
            <v>0</v>
          </cell>
          <cell r="J161">
            <v>40</v>
          </cell>
          <cell r="K161">
            <v>11936</v>
          </cell>
          <cell r="L161">
            <v>12000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36864</v>
          </cell>
          <cell r="G162">
            <v>38</v>
          </cell>
          <cell r="H162" t="str">
            <v>0</v>
          </cell>
          <cell r="I162" t="str">
            <v>0</v>
          </cell>
          <cell r="J162">
            <v>38</v>
          </cell>
          <cell r="K162">
            <v>22856</v>
          </cell>
          <cell r="L162">
            <v>23000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17190</v>
          </cell>
          <cell r="G163">
            <v>37</v>
          </cell>
          <cell r="H163" t="str">
            <v>0</v>
          </cell>
          <cell r="I163" t="str">
            <v>0</v>
          </cell>
          <cell r="J163">
            <v>37</v>
          </cell>
          <cell r="K163">
            <v>10830</v>
          </cell>
          <cell r="L163">
            <v>11000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16955</v>
          </cell>
          <cell r="G164">
            <v>37</v>
          </cell>
          <cell r="H164" t="str">
            <v>0</v>
          </cell>
          <cell r="I164" t="str">
            <v>0</v>
          </cell>
          <cell r="J164">
            <v>37</v>
          </cell>
          <cell r="K164">
            <v>10682</v>
          </cell>
          <cell r="L164">
            <v>11000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17190</v>
          </cell>
          <cell r="G165">
            <v>37</v>
          </cell>
          <cell r="H165" t="str">
            <v>0</v>
          </cell>
          <cell r="I165" t="str">
            <v>0</v>
          </cell>
          <cell r="J165">
            <v>37</v>
          </cell>
          <cell r="K165">
            <v>10830</v>
          </cell>
          <cell r="L165">
            <v>11000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213560</v>
          </cell>
          <cell r="G166">
            <v>35</v>
          </cell>
          <cell r="H166" t="str">
            <v>0</v>
          </cell>
          <cell r="I166" t="str">
            <v>0</v>
          </cell>
          <cell r="J166">
            <v>35</v>
          </cell>
          <cell r="K166">
            <v>138814</v>
          </cell>
          <cell r="L166">
            <v>139000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8729</v>
          </cell>
          <cell r="G167">
            <v>22</v>
          </cell>
          <cell r="H167" t="str">
            <v>0</v>
          </cell>
          <cell r="I167" t="str">
            <v>0</v>
          </cell>
          <cell r="J167">
            <v>22</v>
          </cell>
          <cell r="K167">
            <v>6809</v>
          </cell>
          <cell r="L167">
            <v>6800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41129</v>
          </cell>
          <cell r="G168">
            <v>22</v>
          </cell>
          <cell r="H168" t="str">
            <v>0</v>
          </cell>
          <cell r="I168" t="str">
            <v>0</v>
          </cell>
          <cell r="J168">
            <v>22</v>
          </cell>
          <cell r="K168">
            <v>32081</v>
          </cell>
          <cell r="L168">
            <v>32000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54059</v>
          </cell>
          <cell r="G169">
            <v>20</v>
          </cell>
          <cell r="H169" t="str">
            <v>0</v>
          </cell>
          <cell r="I169" t="str">
            <v>0</v>
          </cell>
          <cell r="J169">
            <v>20</v>
          </cell>
          <cell r="K169">
            <v>43247</v>
          </cell>
          <cell r="L169">
            <v>43000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41129</v>
          </cell>
          <cell r="G170">
            <v>20</v>
          </cell>
          <cell r="H170" t="str">
            <v>0</v>
          </cell>
          <cell r="I170" t="str">
            <v>0</v>
          </cell>
          <cell r="J170">
            <v>20</v>
          </cell>
          <cell r="K170">
            <v>32903</v>
          </cell>
          <cell r="L170">
            <v>33000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16955</v>
          </cell>
          <cell r="G171">
            <v>18</v>
          </cell>
          <cell r="H171" t="str">
            <v>0</v>
          </cell>
          <cell r="I171" t="str">
            <v>0</v>
          </cell>
          <cell r="J171">
            <v>18</v>
          </cell>
          <cell r="K171">
            <v>13903</v>
          </cell>
          <cell r="L171">
            <v>14000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24009</v>
          </cell>
          <cell r="G172">
            <v>18</v>
          </cell>
          <cell r="H172" t="str">
            <v>0</v>
          </cell>
          <cell r="I172" t="str">
            <v>0</v>
          </cell>
          <cell r="J172">
            <v>18</v>
          </cell>
          <cell r="K172">
            <v>19687</v>
          </cell>
          <cell r="L172">
            <v>20000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14746</v>
          </cell>
          <cell r="G173">
            <v>15</v>
          </cell>
          <cell r="H173" t="str">
            <v>0</v>
          </cell>
          <cell r="I173" t="str">
            <v>0</v>
          </cell>
          <cell r="J173">
            <v>15</v>
          </cell>
          <cell r="K173">
            <v>12534</v>
          </cell>
          <cell r="L173">
            <v>13000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14746</v>
          </cell>
          <cell r="G174">
            <v>15</v>
          </cell>
          <cell r="H174" t="str">
            <v>0</v>
          </cell>
          <cell r="I174" t="str">
            <v>0</v>
          </cell>
          <cell r="J174">
            <v>15</v>
          </cell>
          <cell r="K174">
            <v>12534</v>
          </cell>
          <cell r="L174">
            <v>13000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14746</v>
          </cell>
          <cell r="G175">
            <v>15</v>
          </cell>
          <cell r="H175" t="str">
            <v>0</v>
          </cell>
          <cell r="I175" t="str">
            <v>0</v>
          </cell>
          <cell r="J175">
            <v>15</v>
          </cell>
          <cell r="K175">
            <v>12534</v>
          </cell>
          <cell r="L175">
            <v>13000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32452</v>
          </cell>
          <cell r="G176">
            <v>15</v>
          </cell>
          <cell r="H176" t="str">
            <v>0</v>
          </cell>
          <cell r="I176" t="str">
            <v>0</v>
          </cell>
          <cell r="J176">
            <v>15</v>
          </cell>
          <cell r="K176">
            <v>27584</v>
          </cell>
          <cell r="L176">
            <v>28000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92864</v>
          </cell>
          <cell r="G177">
            <v>15</v>
          </cell>
          <cell r="H177" t="str">
            <v>0</v>
          </cell>
          <cell r="I177" t="str">
            <v>0</v>
          </cell>
          <cell r="J177">
            <v>15</v>
          </cell>
          <cell r="K177">
            <v>78934</v>
          </cell>
          <cell r="L177">
            <v>79000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53428</v>
          </cell>
          <cell r="G178">
            <v>15</v>
          </cell>
          <cell r="H178" t="str">
            <v>0</v>
          </cell>
          <cell r="I178" t="str">
            <v>0</v>
          </cell>
          <cell r="J178">
            <v>15</v>
          </cell>
          <cell r="K178">
            <v>45414</v>
          </cell>
          <cell r="L178">
            <v>45000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12534</v>
          </cell>
          <cell r="G179">
            <v>15</v>
          </cell>
          <cell r="H179" t="str">
            <v>0</v>
          </cell>
          <cell r="I179" t="str">
            <v>0</v>
          </cell>
          <cell r="J179">
            <v>15</v>
          </cell>
          <cell r="K179">
            <v>10654</v>
          </cell>
          <cell r="L179">
            <v>11000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12534</v>
          </cell>
          <cell r="G180">
            <v>15</v>
          </cell>
          <cell r="H180" t="str">
            <v>0</v>
          </cell>
          <cell r="I180" t="str">
            <v>0</v>
          </cell>
          <cell r="J180">
            <v>15</v>
          </cell>
          <cell r="K180">
            <v>10654</v>
          </cell>
          <cell r="L180">
            <v>11000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67724</v>
          </cell>
          <cell r="G181">
            <v>13</v>
          </cell>
          <cell r="H181" t="str">
            <v>0</v>
          </cell>
          <cell r="I181" t="str">
            <v>0</v>
          </cell>
          <cell r="J181">
            <v>13</v>
          </cell>
          <cell r="K181">
            <v>58920</v>
          </cell>
          <cell r="L181">
            <v>59000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53428</v>
          </cell>
          <cell r="G182">
            <v>13</v>
          </cell>
          <cell r="H182" t="str">
            <v>0</v>
          </cell>
          <cell r="I182" t="str">
            <v>0</v>
          </cell>
          <cell r="J182">
            <v>13</v>
          </cell>
          <cell r="K182">
            <v>46482</v>
          </cell>
          <cell r="L182">
            <v>46000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85974</v>
          </cell>
          <cell r="G183">
            <v>7</v>
          </cell>
          <cell r="H183" t="str">
            <v>0</v>
          </cell>
          <cell r="I183" t="str">
            <v>0</v>
          </cell>
          <cell r="J183">
            <v>7</v>
          </cell>
          <cell r="K183">
            <v>79956</v>
          </cell>
          <cell r="L183">
            <v>80000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85974</v>
          </cell>
          <cell r="G184">
            <v>7</v>
          </cell>
          <cell r="H184" t="str">
            <v>0</v>
          </cell>
          <cell r="I184" t="str">
            <v>0</v>
          </cell>
          <cell r="J184">
            <v>7</v>
          </cell>
          <cell r="K184">
            <v>79956</v>
          </cell>
          <cell r="L184">
            <v>80000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16297</v>
          </cell>
          <cell r="G185">
            <v>7</v>
          </cell>
          <cell r="H185" t="str">
            <v>0</v>
          </cell>
          <cell r="I185" t="str">
            <v>0</v>
          </cell>
          <cell r="J185">
            <v>7</v>
          </cell>
          <cell r="K185">
            <v>15156</v>
          </cell>
          <cell r="L185">
            <v>15000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26186</v>
          </cell>
          <cell r="G186">
            <v>7</v>
          </cell>
          <cell r="H186" t="str">
            <v>0</v>
          </cell>
          <cell r="I186" t="str">
            <v>0</v>
          </cell>
          <cell r="J186">
            <v>7</v>
          </cell>
          <cell r="K186">
            <v>24353</v>
          </cell>
          <cell r="L186">
            <v>24000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11231</v>
          </cell>
          <cell r="G187">
            <v>7</v>
          </cell>
          <cell r="H187" t="str">
            <v>0</v>
          </cell>
          <cell r="I187" t="str">
            <v>0</v>
          </cell>
          <cell r="J187">
            <v>7</v>
          </cell>
          <cell r="K187">
            <v>10445</v>
          </cell>
          <cell r="L187">
            <v>10000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11231</v>
          </cell>
          <cell r="G188">
            <v>7</v>
          </cell>
          <cell r="H188" t="str">
            <v>0</v>
          </cell>
          <cell r="I188" t="str">
            <v>0</v>
          </cell>
          <cell r="J188">
            <v>7</v>
          </cell>
          <cell r="K188">
            <v>10445</v>
          </cell>
          <cell r="L188">
            <v>10000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11231</v>
          </cell>
          <cell r="G189">
            <v>7</v>
          </cell>
          <cell r="H189" t="str">
            <v>0</v>
          </cell>
          <cell r="I189" t="str">
            <v>0</v>
          </cell>
          <cell r="J189">
            <v>7</v>
          </cell>
          <cell r="K189">
            <v>10445</v>
          </cell>
          <cell r="L189">
            <v>10000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15756</v>
          </cell>
          <cell r="G190">
            <v>5</v>
          </cell>
          <cell r="H190" t="str">
            <v>0</v>
          </cell>
          <cell r="I190" t="str">
            <v>0</v>
          </cell>
          <cell r="J190">
            <v>5</v>
          </cell>
          <cell r="K190">
            <v>14968</v>
          </cell>
          <cell r="L190">
            <v>15000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44681</v>
          </cell>
          <cell r="G191">
            <v>40</v>
          </cell>
          <cell r="H191" t="str">
            <v>0</v>
          </cell>
          <cell r="I191" t="str">
            <v>0</v>
          </cell>
          <cell r="J191">
            <v>40</v>
          </cell>
          <cell r="K191">
            <v>26809</v>
          </cell>
          <cell r="L191">
            <v>27000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25374</v>
          </cell>
          <cell r="G192">
            <v>40</v>
          </cell>
          <cell r="H192" t="str">
            <v>0</v>
          </cell>
          <cell r="I192" t="str">
            <v>0</v>
          </cell>
          <cell r="J192">
            <v>40</v>
          </cell>
          <cell r="K192">
            <v>15224</v>
          </cell>
          <cell r="L192">
            <v>15000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25374</v>
          </cell>
          <cell r="G193">
            <v>5</v>
          </cell>
          <cell r="H193" t="str">
            <v>0</v>
          </cell>
          <cell r="I193" t="str">
            <v>0</v>
          </cell>
          <cell r="J193">
            <v>5</v>
          </cell>
          <cell r="K193">
            <v>24105</v>
          </cell>
          <cell r="L193">
            <v>24000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10305</v>
          </cell>
          <cell r="G194">
            <v>56</v>
          </cell>
          <cell r="H194" t="str">
            <v>0</v>
          </cell>
          <cell r="I194" t="str">
            <v>0</v>
          </cell>
          <cell r="J194">
            <v>56</v>
          </cell>
          <cell r="K194">
            <v>4534</v>
          </cell>
          <cell r="L194">
            <v>4500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10305</v>
          </cell>
          <cell r="G195">
            <v>56</v>
          </cell>
          <cell r="H195" t="str">
            <v>0</v>
          </cell>
          <cell r="I195" t="str">
            <v>0</v>
          </cell>
          <cell r="J195">
            <v>56</v>
          </cell>
          <cell r="K195">
            <v>4534</v>
          </cell>
          <cell r="L195">
            <v>4500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10305</v>
          </cell>
          <cell r="G196">
            <v>56</v>
          </cell>
          <cell r="H196" t="str">
            <v>0</v>
          </cell>
          <cell r="I196" t="str">
            <v>0</v>
          </cell>
          <cell r="J196">
            <v>56</v>
          </cell>
          <cell r="K196">
            <v>4534</v>
          </cell>
          <cell r="L196">
            <v>4500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10305</v>
          </cell>
          <cell r="G197">
            <v>56</v>
          </cell>
          <cell r="H197" t="str">
            <v>0</v>
          </cell>
          <cell r="I197" t="str">
            <v>0</v>
          </cell>
          <cell r="J197">
            <v>56</v>
          </cell>
          <cell r="K197">
            <v>4534</v>
          </cell>
          <cell r="L197">
            <v>4500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21409</v>
          </cell>
          <cell r="G198">
            <v>17</v>
          </cell>
          <cell r="H198" t="str">
            <v>0</v>
          </cell>
          <cell r="I198" t="str">
            <v>0</v>
          </cell>
          <cell r="J198">
            <v>17</v>
          </cell>
          <cell r="K198">
            <v>17769</v>
          </cell>
          <cell r="L198">
            <v>18000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24009</v>
          </cell>
          <cell r="G199">
            <v>97</v>
          </cell>
          <cell r="H199" t="str">
            <v>0</v>
          </cell>
          <cell r="I199" t="str">
            <v>0</v>
          </cell>
          <cell r="J199">
            <v>97</v>
          </cell>
          <cell r="K199">
            <v>720</v>
          </cell>
          <cell r="L199">
            <v>720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9853</v>
          </cell>
          <cell r="G200">
            <v>97</v>
          </cell>
          <cell r="H200" t="str">
            <v>0</v>
          </cell>
          <cell r="I200" t="str">
            <v>0</v>
          </cell>
          <cell r="J200">
            <v>97</v>
          </cell>
          <cell r="K200">
            <v>296</v>
          </cell>
          <cell r="L200">
            <v>300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9853</v>
          </cell>
          <cell r="G201">
            <v>97</v>
          </cell>
          <cell r="H201" t="str">
            <v>0</v>
          </cell>
          <cell r="I201" t="str">
            <v>0</v>
          </cell>
          <cell r="J201">
            <v>97</v>
          </cell>
          <cell r="K201">
            <v>296</v>
          </cell>
          <cell r="L201">
            <v>300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24009</v>
          </cell>
          <cell r="G202">
            <v>97</v>
          </cell>
          <cell r="H202" t="str">
            <v>0</v>
          </cell>
          <cell r="I202" t="str">
            <v>0</v>
          </cell>
          <cell r="J202">
            <v>97</v>
          </cell>
          <cell r="K202">
            <v>720</v>
          </cell>
          <cell r="L202">
            <v>720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16955</v>
          </cell>
          <cell r="G203">
            <v>97</v>
          </cell>
          <cell r="H203" t="str">
            <v>0</v>
          </cell>
          <cell r="I203" t="str">
            <v>0</v>
          </cell>
          <cell r="J203">
            <v>97</v>
          </cell>
          <cell r="K203">
            <v>509</v>
          </cell>
          <cell r="L203">
            <v>510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15097</v>
          </cell>
          <cell r="G204">
            <v>95</v>
          </cell>
          <cell r="H204" t="str">
            <v>0</v>
          </cell>
          <cell r="I204" t="str">
            <v>0</v>
          </cell>
          <cell r="J204">
            <v>95</v>
          </cell>
          <cell r="K204">
            <v>755</v>
          </cell>
          <cell r="L204">
            <v>760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15097</v>
          </cell>
          <cell r="G205">
            <v>95</v>
          </cell>
          <cell r="H205" t="str">
            <v>0</v>
          </cell>
          <cell r="I205" t="str">
            <v>0</v>
          </cell>
          <cell r="J205">
            <v>95</v>
          </cell>
          <cell r="K205">
            <v>755</v>
          </cell>
          <cell r="L205">
            <v>760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16955</v>
          </cell>
          <cell r="G206">
            <v>90</v>
          </cell>
          <cell r="H206" t="str">
            <v>0</v>
          </cell>
          <cell r="I206" t="str">
            <v>0</v>
          </cell>
          <cell r="J206">
            <v>90</v>
          </cell>
          <cell r="K206">
            <v>1696</v>
          </cell>
          <cell r="L206">
            <v>1700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9970</v>
          </cell>
          <cell r="G207">
            <v>83</v>
          </cell>
          <cell r="H207" t="str">
            <v>0</v>
          </cell>
          <cell r="I207" t="str">
            <v>0</v>
          </cell>
          <cell r="J207">
            <v>83</v>
          </cell>
          <cell r="K207">
            <v>1695</v>
          </cell>
          <cell r="L207">
            <v>1700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5096</v>
          </cell>
          <cell r="G208">
            <v>65</v>
          </cell>
          <cell r="H208" t="str">
            <v>0</v>
          </cell>
          <cell r="I208" t="str">
            <v>0</v>
          </cell>
          <cell r="J208">
            <v>65</v>
          </cell>
          <cell r="K208">
            <v>1784</v>
          </cell>
          <cell r="L208">
            <v>1800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27043</v>
          </cell>
          <cell r="G209">
            <v>57</v>
          </cell>
          <cell r="H209" t="str">
            <v>0</v>
          </cell>
          <cell r="I209" t="str">
            <v>0</v>
          </cell>
          <cell r="J209">
            <v>57</v>
          </cell>
          <cell r="K209">
            <v>11628</v>
          </cell>
          <cell r="L209">
            <v>12000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44522</v>
          </cell>
          <cell r="G210">
            <v>40</v>
          </cell>
          <cell r="H210" t="str">
            <v>0</v>
          </cell>
          <cell r="I210" t="str">
            <v>0</v>
          </cell>
          <cell r="J210">
            <v>40</v>
          </cell>
          <cell r="K210">
            <v>26713</v>
          </cell>
          <cell r="L210">
            <v>27000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11076</v>
          </cell>
          <cell r="G211">
            <v>40</v>
          </cell>
          <cell r="H211" t="str">
            <v>0</v>
          </cell>
          <cell r="I211" t="str">
            <v>0</v>
          </cell>
          <cell r="J211">
            <v>40</v>
          </cell>
          <cell r="K211">
            <v>6646</v>
          </cell>
          <cell r="L211">
            <v>6600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16955</v>
          </cell>
          <cell r="G212">
            <v>33</v>
          </cell>
          <cell r="H212" t="str">
            <v>0</v>
          </cell>
          <cell r="I212" t="str">
            <v>0</v>
          </cell>
          <cell r="J212">
            <v>33</v>
          </cell>
          <cell r="K212">
            <v>11360</v>
          </cell>
          <cell r="L212">
            <v>11000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16955</v>
          </cell>
          <cell r="G213">
            <v>33</v>
          </cell>
          <cell r="H213" t="str">
            <v>0</v>
          </cell>
          <cell r="I213" t="str">
            <v>0</v>
          </cell>
          <cell r="J213">
            <v>33</v>
          </cell>
          <cell r="K213">
            <v>11360</v>
          </cell>
          <cell r="L213">
            <v>11000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16955</v>
          </cell>
          <cell r="G214">
            <v>33</v>
          </cell>
          <cell r="H214" t="str">
            <v>0</v>
          </cell>
          <cell r="I214" t="str">
            <v>0</v>
          </cell>
          <cell r="J214">
            <v>33</v>
          </cell>
          <cell r="K214">
            <v>11360</v>
          </cell>
          <cell r="L214">
            <v>11000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70313</v>
          </cell>
          <cell r="G215">
            <v>12</v>
          </cell>
          <cell r="H215" t="str">
            <v>0</v>
          </cell>
          <cell r="I215" t="str">
            <v>0</v>
          </cell>
          <cell r="J215">
            <v>12</v>
          </cell>
          <cell r="K215">
            <v>61875</v>
          </cell>
          <cell r="L215">
            <v>62000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19377</v>
          </cell>
          <cell r="G216">
            <v>7</v>
          </cell>
          <cell r="H216" t="str">
            <v>0</v>
          </cell>
          <cell r="I216" t="str">
            <v>0</v>
          </cell>
          <cell r="J216">
            <v>7</v>
          </cell>
          <cell r="K216">
            <v>18021</v>
          </cell>
          <cell r="L216">
            <v>18000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19377</v>
          </cell>
          <cell r="G217">
            <v>7</v>
          </cell>
          <cell r="H217" t="str">
            <v>0</v>
          </cell>
          <cell r="I217" t="str">
            <v>0</v>
          </cell>
          <cell r="J217">
            <v>7</v>
          </cell>
          <cell r="K217">
            <v>18021</v>
          </cell>
          <cell r="L217">
            <v>18000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19377</v>
          </cell>
          <cell r="G218">
            <v>7</v>
          </cell>
          <cell r="H218" t="str">
            <v>0</v>
          </cell>
          <cell r="I218" t="str">
            <v>0</v>
          </cell>
          <cell r="J218">
            <v>7</v>
          </cell>
          <cell r="K218">
            <v>18021</v>
          </cell>
          <cell r="L218">
            <v>18000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19377</v>
          </cell>
          <cell r="G219">
            <v>7</v>
          </cell>
          <cell r="H219" t="str">
            <v>0</v>
          </cell>
          <cell r="I219" t="str">
            <v>0</v>
          </cell>
          <cell r="J219">
            <v>7</v>
          </cell>
          <cell r="K219">
            <v>18021</v>
          </cell>
          <cell r="L219">
            <v>18000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19377</v>
          </cell>
          <cell r="G220">
            <v>7</v>
          </cell>
          <cell r="H220" t="str">
            <v>0</v>
          </cell>
          <cell r="I220" t="str">
            <v>0</v>
          </cell>
          <cell r="J220">
            <v>7</v>
          </cell>
          <cell r="K220">
            <v>18021</v>
          </cell>
          <cell r="L220">
            <v>18000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19377</v>
          </cell>
          <cell r="G221">
            <v>7</v>
          </cell>
          <cell r="H221" t="str">
            <v>0</v>
          </cell>
          <cell r="I221" t="str">
            <v>0</v>
          </cell>
          <cell r="J221">
            <v>7</v>
          </cell>
          <cell r="K221">
            <v>18021</v>
          </cell>
          <cell r="L221">
            <v>18000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5096</v>
          </cell>
          <cell r="G222">
            <v>65</v>
          </cell>
          <cell r="H222" t="str">
            <v>0</v>
          </cell>
          <cell r="I222" t="str">
            <v>0</v>
          </cell>
          <cell r="J222">
            <v>65</v>
          </cell>
          <cell r="K222">
            <v>1784</v>
          </cell>
          <cell r="L222">
            <v>1800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10305</v>
          </cell>
          <cell r="G223">
            <v>55</v>
          </cell>
          <cell r="H223" t="str">
            <v>0</v>
          </cell>
          <cell r="I223" t="str">
            <v>0</v>
          </cell>
          <cell r="J223">
            <v>55</v>
          </cell>
          <cell r="K223">
            <v>4637</v>
          </cell>
          <cell r="L223">
            <v>4600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10305</v>
          </cell>
          <cell r="G224">
            <v>55</v>
          </cell>
          <cell r="H224" t="str">
            <v>0</v>
          </cell>
          <cell r="I224" t="str">
            <v>0</v>
          </cell>
          <cell r="J224">
            <v>55</v>
          </cell>
          <cell r="K224">
            <v>4637</v>
          </cell>
          <cell r="L224">
            <v>4600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10305</v>
          </cell>
          <cell r="G225">
            <v>55</v>
          </cell>
          <cell r="H225" t="str">
            <v>0</v>
          </cell>
          <cell r="I225" t="str">
            <v>0</v>
          </cell>
          <cell r="J225">
            <v>55</v>
          </cell>
          <cell r="K225">
            <v>4637</v>
          </cell>
          <cell r="L225">
            <v>4600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8008</v>
          </cell>
          <cell r="G226">
            <v>17</v>
          </cell>
          <cell r="H226" t="str">
            <v>0</v>
          </cell>
          <cell r="I226" t="str">
            <v>0</v>
          </cell>
          <cell r="J226">
            <v>17</v>
          </cell>
          <cell r="K226">
            <v>6647</v>
          </cell>
          <cell r="L226">
            <v>6600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16955</v>
          </cell>
          <cell r="G227">
            <v>90</v>
          </cell>
          <cell r="H227" t="str">
            <v>0</v>
          </cell>
          <cell r="I227" t="str">
            <v>0</v>
          </cell>
          <cell r="J227">
            <v>90</v>
          </cell>
          <cell r="K227">
            <v>1696</v>
          </cell>
          <cell r="L227">
            <v>1700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44522</v>
          </cell>
          <cell r="G228">
            <v>90</v>
          </cell>
          <cell r="H228" t="str">
            <v>0</v>
          </cell>
          <cell r="I228" t="str">
            <v>0</v>
          </cell>
          <cell r="J228">
            <v>90</v>
          </cell>
          <cell r="K228">
            <v>4452</v>
          </cell>
          <cell r="L228">
            <v>4500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44522</v>
          </cell>
          <cell r="G229">
            <v>87</v>
          </cell>
          <cell r="H229" t="str">
            <v>0</v>
          </cell>
          <cell r="I229" t="str">
            <v>0</v>
          </cell>
          <cell r="J229">
            <v>87</v>
          </cell>
          <cell r="K229">
            <v>5788</v>
          </cell>
          <cell r="L229">
            <v>5800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16955</v>
          </cell>
          <cell r="G230">
            <v>87</v>
          </cell>
          <cell r="H230" t="str">
            <v>0</v>
          </cell>
          <cell r="I230" t="str">
            <v>0</v>
          </cell>
          <cell r="J230">
            <v>87</v>
          </cell>
          <cell r="K230">
            <v>2204</v>
          </cell>
          <cell r="L230">
            <v>2200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23398</v>
          </cell>
          <cell r="G231">
            <v>61</v>
          </cell>
          <cell r="H231" t="str">
            <v>0</v>
          </cell>
          <cell r="I231" t="str">
            <v>0</v>
          </cell>
          <cell r="J231">
            <v>61</v>
          </cell>
          <cell r="K231">
            <v>9125</v>
          </cell>
          <cell r="L231">
            <v>9100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11800</v>
          </cell>
          <cell r="G232">
            <v>78</v>
          </cell>
          <cell r="H232" t="str">
            <v>0</v>
          </cell>
          <cell r="I232" t="str">
            <v>0</v>
          </cell>
          <cell r="J232">
            <v>78</v>
          </cell>
          <cell r="K232">
            <v>2596</v>
          </cell>
          <cell r="L232">
            <v>2600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3269</v>
          </cell>
          <cell r="G233">
            <v>77</v>
          </cell>
          <cell r="H233" t="str">
            <v>0</v>
          </cell>
          <cell r="I233" t="str">
            <v>0</v>
          </cell>
          <cell r="J233">
            <v>77</v>
          </cell>
          <cell r="K233">
            <v>752</v>
          </cell>
          <cell r="L233">
            <v>750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27542</v>
          </cell>
          <cell r="G234">
            <v>52</v>
          </cell>
          <cell r="H234" t="str">
            <v>0</v>
          </cell>
          <cell r="I234" t="str">
            <v>0</v>
          </cell>
          <cell r="J234">
            <v>52</v>
          </cell>
          <cell r="K234">
            <v>13220</v>
          </cell>
          <cell r="L234">
            <v>13000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5879</v>
          </cell>
          <cell r="G235">
            <v>97</v>
          </cell>
          <cell r="H235" t="str">
            <v>0</v>
          </cell>
          <cell r="I235" t="str">
            <v>0</v>
          </cell>
          <cell r="J235">
            <v>97</v>
          </cell>
          <cell r="K235">
            <v>176</v>
          </cell>
          <cell r="L235">
            <v>180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57734</v>
          </cell>
          <cell r="G236">
            <v>60</v>
          </cell>
          <cell r="H236" t="str">
            <v>0</v>
          </cell>
          <cell r="I236" t="str">
            <v>0</v>
          </cell>
          <cell r="J236">
            <v>60</v>
          </cell>
          <cell r="K236">
            <v>23094</v>
          </cell>
          <cell r="L236">
            <v>23000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37845</v>
          </cell>
          <cell r="G237">
            <v>33</v>
          </cell>
          <cell r="H237" t="str">
            <v>0</v>
          </cell>
          <cell r="I237" t="str">
            <v>0</v>
          </cell>
          <cell r="J237">
            <v>33</v>
          </cell>
          <cell r="K237">
            <v>25356</v>
          </cell>
          <cell r="L237">
            <v>25000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106780</v>
          </cell>
          <cell r="G238">
            <v>27</v>
          </cell>
          <cell r="H238" t="str">
            <v>0</v>
          </cell>
          <cell r="I238" t="str">
            <v>0</v>
          </cell>
          <cell r="J238">
            <v>27</v>
          </cell>
          <cell r="K238">
            <v>77949</v>
          </cell>
          <cell r="L238">
            <v>78000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57614</v>
          </cell>
          <cell r="G239">
            <v>68</v>
          </cell>
          <cell r="H239" t="str">
            <v>0</v>
          </cell>
          <cell r="I239" t="str">
            <v>0</v>
          </cell>
          <cell r="J239">
            <v>68</v>
          </cell>
          <cell r="K239">
            <v>18436</v>
          </cell>
          <cell r="L239">
            <v>18000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7431</v>
          </cell>
          <cell r="G240">
            <v>92</v>
          </cell>
          <cell r="H240" t="str">
            <v>0</v>
          </cell>
          <cell r="I240" t="str">
            <v>0</v>
          </cell>
          <cell r="J240">
            <v>92</v>
          </cell>
          <cell r="K240">
            <v>594</v>
          </cell>
          <cell r="L240">
            <v>590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7431</v>
          </cell>
          <cell r="G241">
            <v>92</v>
          </cell>
          <cell r="H241" t="str">
            <v>0</v>
          </cell>
          <cell r="I241" t="str">
            <v>0</v>
          </cell>
          <cell r="J241">
            <v>92</v>
          </cell>
          <cell r="K241">
            <v>594</v>
          </cell>
          <cell r="L241">
            <v>590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25397</v>
          </cell>
          <cell r="G242">
            <v>27</v>
          </cell>
          <cell r="H242" t="str">
            <v>0</v>
          </cell>
          <cell r="I242" t="str">
            <v>0</v>
          </cell>
          <cell r="J242">
            <v>27</v>
          </cell>
          <cell r="K242">
            <v>18540</v>
          </cell>
          <cell r="L242">
            <v>19000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17190</v>
          </cell>
          <cell r="G243">
            <v>33</v>
          </cell>
          <cell r="H243" t="str">
            <v>0</v>
          </cell>
          <cell r="I243" t="str">
            <v>0</v>
          </cell>
          <cell r="J243">
            <v>33</v>
          </cell>
          <cell r="K243">
            <v>11517</v>
          </cell>
          <cell r="L243">
            <v>12000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95763</v>
          </cell>
          <cell r="G244">
            <v>97</v>
          </cell>
          <cell r="H244" t="str">
            <v>0</v>
          </cell>
          <cell r="I244" t="str">
            <v>0</v>
          </cell>
          <cell r="J244">
            <v>97</v>
          </cell>
          <cell r="K244">
            <v>2873</v>
          </cell>
          <cell r="L244">
            <v>2900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3814</v>
          </cell>
          <cell r="G245">
            <v>87</v>
          </cell>
          <cell r="H245" t="str">
            <v>0</v>
          </cell>
          <cell r="I245" t="str">
            <v>0</v>
          </cell>
          <cell r="J245">
            <v>87</v>
          </cell>
          <cell r="K245">
            <v>496</v>
          </cell>
          <cell r="L245">
            <v>500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3814</v>
          </cell>
          <cell r="G246">
            <v>87</v>
          </cell>
          <cell r="H246" t="str">
            <v>0</v>
          </cell>
          <cell r="I246" t="str">
            <v>0</v>
          </cell>
          <cell r="J246">
            <v>87</v>
          </cell>
          <cell r="K246">
            <v>496</v>
          </cell>
          <cell r="L246">
            <v>500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3814</v>
          </cell>
          <cell r="G247">
            <v>87</v>
          </cell>
          <cell r="H247" t="str">
            <v>0</v>
          </cell>
          <cell r="I247" t="str">
            <v>0</v>
          </cell>
          <cell r="J247">
            <v>87</v>
          </cell>
          <cell r="K247">
            <v>496</v>
          </cell>
          <cell r="L247">
            <v>500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3814</v>
          </cell>
          <cell r="G248">
            <v>87</v>
          </cell>
          <cell r="H248" t="str">
            <v>0</v>
          </cell>
          <cell r="I248" t="str">
            <v>0</v>
          </cell>
          <cell r="J248">
            <v>87</v>
          </cell>
          <cell r="K248">
            <v>496</v>
          </cell>
          <cell r="L248">
            <v>500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3814</v>
          </cell>
          <cell r="G249">
            <v>87</v>
          </cell>
          <cell r="H249" t="str">
            <v>0</v>
          </cell>
          <cell r="I249" t="str">
            <v>0</v>
          </cell>
          <cell r="J249">
            <v>87</v>
          </cell>
          <cell r="K249">
            <v>496</v>
          </cell>
          <cell r="L249">
            <v>500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3814</v>
          </cell>
          <cell r="G250">
            <v>87</v>
          </cell>
          <cell r="H250" t="str">
            <v>0</v>
          </cell>
          <cell r="I250" t="str">
            <v>0</v>
          </cell>
          <cell r="J250">
            <v>87</v>
          </cell>
          <cell r="K250">
            <v>496</v>
          </cell>
          <cell r="L250">
            <v>500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3814</v>
          </cell>
          <cell r="G251">
            <v>87</v>
          </cell>
          <cell r="H251" t="str">
            <v>0</v>
          </cell>
          <cell r="I251" t="str">
            <v>0</v>
          </cell>
          <cell r="J251">
            <v>87</v>
          </cell>
          <cell r="K251">
            <v>496</v>
          </cell>
          <cell r="L251">
            <v>500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3814</v>
          </cell>
          <cell r="G252">
            <v>87</v>
          </cell>
          <cell r="H252" t="str">
            <v>0</v>
          </cell>
          <cell r="I252" t="str">
            <v>0</v>
          </cell>
          <cell r="J252">
            <v>87</v>
          </cell>
          <cell r="K252">
            <v>496</v>
          </cell>
          <cell r="L252">
            <v>500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3814</v>
          </cell>
          <cell r="G253">
            <v>87</v>
          </cell>
          <cell r="H253" t="str">
            <v>0</v>
          </cell>
          <cell r="I253" t="str">
            <v>0</v>
          </cell>
          <cell r="J253">
            <v>87</v>
          </cell>
          <cell r="K253">
            <v>496</v>
          </cell>
          <cell r="L253">
            <v>500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3814</v>
          </cell>
          <cell r="G254">
            <v>87</v>
          </cell>
          <cell r="H254" t="str">
            <v>0</v>
          </cell>
          <cell r="I254" t="str">
            <v>0</v>
          </cell>
          <cell r="J254">
            <v>87</v>
          </cell>
          <cell r="K254">
            <v>496</v>
          </cell>
          <cell r="L254">
            <v>500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3814</v>
          </cell>
          <cell r="G255">
            <v>87</v>
          </cell>
          <cell r="H255" t="str">
            <v>0</v>
          </cell>
          <cell r="I255" t="str">
            <v>0</v>
          </cell>
          <cell r="J255">
            <v>87</v>
          </cell>
          <cell r="K255">
            <v>496</v>
          </cell>
          <cell r="L255">
            <v>500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3814</v>
          </cell>
          <cell r="G256">
            <v>87</v>
          </cell>
          <cell r="H256" t="str">
            <v>0</v>
          </cell>
          <cell r="I256" t="str">
            <v>0</v>
          </cell>
          <cell r="J256">
            <v>87</v>
          </cell>
          <cell r="K256">
            <v>496</v>
          </cell>
          <cell r="L256">
            <v>500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3814</v>
          </cell>
          <cell r="G257">
            <v>87</v>
          </cell>
          <cell r="H257" t="str">
            <v>0</v>
          </cell>
          <cell r="I257" t="str">
            <v>0</v>
          </cell>
          <cell r="J257">
            <v>87</v>
          </cell>
          <cell r="K257">
            <v>496</v>
          </cell>
          <cell r="L257">
            <v>500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3814</v>
          </cell>
          <cell r="G258">
            <v>87</v>
          </cell>
          <cell r="H258" t="str">
            <v>0</v>
          </cell>
          <cell r="I258" t="str">
            <v>0</v>
          </cell>
          <cell r="J258">
            <v>87</v>
          </cell>
          <cell r="K258">
            <v>496</v>
          </cell>
          <cell r="L258">
            <v>500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3814</v>
          </cell>
          <cell r="G259">
            <v>87</v>
          </cell>
          <cell r="H259" t="str">
            <v>0</v>
          </cell>
          <cell r="I259" t="str">
            <v>0</v>
          </cell>
          <cell r="J259">
            <v>87</v>
          </cell>
          <cell r="K259">
            <v>496</v>
          </cell>
          <cell r="L259">
            <v>500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3814</v>
          </cell>
          <cell r="G260">
            <v>87</v>
          </cell>
          <cell r="H260" t="str">
            <v>0</v>
          </cell>
          <cell r="I260" t="str">
            <v>0</v>
          </cell>
          <cell r="J260">
            <v>87</v>
          </cell>
          <cell r="K260">
            <v>496</v>
          </cell>
          <cell r="L260">
            <v>500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3814</v>
          </cell>
          <cell r="G261">
            <v>87</v>
          </cell>
          <cell r="H261" t="str">
            <v>0</v>
          </cell>
          <cell r="I261" t="str">
            <v>0</v>
          </cell>
          <cell r="J261">
            <v>87</v>
          </cell>
          <cell r="K261">
            <v>496</v>
          </cell>
          <cell r="L261">
            <v>500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3814</v>
          </cell>
          <cell r="G262">
            <v>87</v>
          </cell>
          <cell r="H262" t="str">
            <v>0</v>
          </cell>
          <cell r="I262" t="str">
            <v>0</v>
          </cell>
          <cell r="J262">
            <v>87</v>
          </cell>
          <cell r="K262">
            <v>496</v>
          </cell>
          <cell r="L262">
            <v>500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3814</v>
          </cell>
          <cell r="G263">
            <v>87</v>
          </cell>
          <cell r="H263" t="str">
            <v>0</v>
          </cell>
          <cell r="I263" t="str">
            <v>0</v>
          </cell>
          <cell r="J263">
            <v>87</v>
          </cell>
          <cell r="K263">
            <v>496</v>
          </cell>
          <cell r="L263">
            <v>500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16955</v>
          </cell>
          <cell r="G264">
            <v>5</v>
          </cell>
          <cell r="H264" t="str">
            <v>0</v>
          </cell>
          <cell r="I264" t="str">
            <v>0</v>
          </cell>
          <cell r="J264">
            <v>5</v>
          </cell>
          <cell r="K264">
            <v>16107</v>
          </cell>
          <cell r="L264">
            <v>16000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16353</v>
          </cell>
          <cell r="G265">
            <v>5</v>
          </cell>
          <cell r="H265" t="str">
            <v>0</v>
          </cell>
          <cell r="I265" t="str">
            <v>0</v>
          </cell>
          <cell r="J265">
            <v>5</v>
          </cell>
          <cell r="K265">
            <v>15535</v>
          </cell>
          <cell r="L265">
            <v>16000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16955</v>
          </cell>
          <cell r="G266">
            <v>5</v>
          </cell>
          <cell r="H266" t="str">
            <v>0</v>
          </cell>
          <cell r="I266" t="str">
            <v>0</v>
          </cell>
          <cell r="J266">
            <v>5</v>
          </cell>
          <cell r="K266">
            <v>16107</v>
          </cell>
          <cell r="L266">
            <v>16000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16353</v>
          </cell>
          <cell r="G267">
            <v>5</v>
          </cell>
          <cell r="H267" t="str">
            <v>0</v>
          </cell>
          <cell r="I267" t="str">
            <v>0</v>
          </cell>
          <cell r="J267">
            <v>5</v>
          </cell>
          <cell r="K267">
            <v>15535</v>
          </cell>
          <cell r="L267">
            <v>16000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16955</v>
          </cell>
          <cell r="G268">
            <v>5</v>
          </cell>
          <cell r="H268" t="str">
            <v>0</v>
          </cell>
          <cell r="I268" t="str">
            <v>0</v>
          </cell>
          <cell r="J268">
            <v>5</v>
          </cell>
          <cell r="K268">
            <v>16107</v>
          </cell>
          <cell r="L268">
            <v>16000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16353</v>
          </cell>
          <cell r="G269">
            <v>5</v>
          </cell>
          <cell r="H269" t="str">
            <v>0</v>
          </cell>
          <cell r="I269" t="str">
            <v>0</v>
          </cell>
          <cell r="J269">
            <v>5</v>
          </cell>
          <cell r="K269">
            <v>15535</v>
          </cell>
          <cell r="L269">
            <v>16000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24009</v>
          </cell>
          <cell r="G270">
            <v>97</v>
          </cell>
          <cell r="H270" t="str">
            <v>0</v>
          </cell>
          <cell r="I270" t="str">
            <v>0</v>
          </cell>
          <cell r="J270">
            <v>97</v>
          </cell>
          <cell r="K270">
            <v>720</v>
          </cell>
          <cell r="L270">
            <v>720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16955</v>
          </cell>
          <cell r="G271">
            <v>97</v>
          </cell>
          <cell r="H271" t="str">
            <v>0</v>
          </cell>
          <cell r="I271" t="str">
            <v>0</v>
          </cell>
          <cell r="J271">
            <v>97</v>
          </cell>
          <cell r="K271">
            <v>509</v>
          </cell>
          <cell r="L271">
            <v>510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16955</v>
          </cell>
          <cell r="G272">
            <v>97</v>
          </cell>
          <cell r="H272" t="str">
            <v>0</v>
          </cell>
          <cell r="I272" t="str">
            <v>0</v>
          </cell>
          <cell r="J272">
            <v>97</v>
          </cell>
          <cell r="K272">
            <v>509</v>
          </cell>
          <cell r="L272">
            <v>510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14746</v>
          </cell>
          <cell r="G273">
            <v>97</v>
          </cell>
          <cell r="H273" t="str">
            <v>0</v>
          </cell>
          <cell r="I273" t="str">
            <v>0</v>
          </cell>
          <cell r="J273">
            <v>97</v>
          </cell>
          <cell r="K273">
            <v>442</v>
          </cell>
          <cell r="L273">
            <v>440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32099</v>
          </cell>
          <cell r="G274">
            <v>97</v>
          </cell>
          <cell r="H274" t="str">
            <v>0</v>
          </cell>
          <cell r="I274" t="str">
            <v>0</v>
          </cell>
          <cell r="J274">
            <v>97</v>
          </cell>
          <cell r="K274">
            <v>963</v>
          </cell>
          <cell r="L274">
            <v>960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13875</v>
          </cell>
          <cell r="G275">
            <v>97</v>
          </cell>
          <cell r="H275" t="str">
            <v>0</v>
          </cell>
          <cell r="I275" t="str">
            <v>0</v>
          </cell>
          <cell r="J275">
            <v>97</v>
          </cell>
          <cell r="K275">
            <v>416</v>
          </cell>
          <cell r="L275">
            <v>420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13875</v>
          </cell>
          <cell r="G276">
            <v>97</v>
          </cell>
          <cell r="H276" t="str">
            <v>0</v>
          </cell>
          <cell r="I276" t="str">
            <v>0</v>
          </cell>
          <cell r="J276">
            <v>97</v>
          </cell>
          <cell r="K276">
            <v>416</v>
          </cell>
          <cell r="L276">
            <v>420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13875</v>
          </cell>
          <cell r="G277">
            <v>97</v>
          </cell>
          <cell r="H277" t="str">
            <v>0</v>
          </cell>
          <cell r="I277" t="str">
            <v>0</v>
          </cell>
          <cell r="J277">
            <v>97</v>
          </cell>
          <cell r="K277">
            <v>416</v>
          </cell>
          <cell r="L277">
            <v>420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17190</v>
          </cell>
          <cell r="G278">
            <v>95</v>
          </cell>
          <cell r="H278" t="str">
            <v>0</v>
          </cell>
          <cell r="I278" t="str">
            <v>0</v>
          </cell>
          <cell r="J278">
            <v>95</v>
          </cell>
          <cell r="K278">
            <v>860</v>
          </cell>
          <cell r="L278">
            <v>860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17190</v>
          </cell>
          <cell r="G279">
            <v>95</v>
          </cell>
          <cell r="H279" t="str">
            <v>0</v>
          </cell>
          <cell r="I279" t="str">
            <v>0</v>
          </cell>
          <cell r="J279">
            <v>95</v>
          </cell>
          <cell r="K279">
            <v>860</v>
          </cell>
          <cell r="L279">
            <v>860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16955</v>
          </cell>
          <cell r="G280">
            <v>93</v>
          </cell>
          <cell r="H280" t="str">
            <v>0</v>
          </cell>
          <cell r="I280" t="str">
            <v>0</v>
          </cell>
          <cell r="J280">
            <v>93</v>
          </cell>
          <cell r="K280">
            <v>1187</v>
          </cell>
          <cell r="L280">
            <v>1200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16955</v>
          </cell>
          <cell r="G281">
            <v>93</v>
          </cell>
          <cell r="H281" t="str">
            <v>0</v>
          </cell>
          <cell r="I281" t="str">
            <v>0</v>
          </cell>
          <cell r="J281">
            <v>93</v>
          </cell>
          <cell r="K281">
            <v>1187</v>
          </cell>
          <cell r="L281">
            <v>1200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16955</v>
          </cell>
          <cell r="G282">
            <v>93</v>
          </cell>
          <cell r="H282" t="str">
            <v>0</v>
          </cell>
          <cell r="I282" t="str">
            <v>0</v>
          </cell>
          <cell r="J282">
            <v>93</v>
          </cell>
          <cell r="K282">
            <v>1187</v>
          </cell>
          <cell r="L282">
            <v>1200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16955</v>
          </cell>
          <cell r="G283">
            <v>93</v>
          </cell>
          <cell r="H283" t="str">
            <v>0</v>
          </cell>
          <cell r="I283" t="str">
            <v>0</v>
          </cell>
          <cell r="J283">
            <v>93</v>
          </cell>
          <cell r="K283">
            <v>1187</v>
          </cell>
          <cell r="L283">
            <v>1200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16955</v>
          </cell>
          <cell r="G284">
            <v>93</v>
          </cell>
          <cell r="H284" t="str">
            <v>0</v>
          </cell>
          <cell r="I284" t="str">
            <v>0</v>
          </cell>
          <cell r="J284">
            <v>93</v>
          </cell>
          <cell r="K284">
            <v>1187</v>
          </cell>
          <cell r="L284">
            <v>1200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16955</v>
          </cell>
          <cell r="G285">
            <v>93</v>
          </cell>
          <cell r="H285" t="str">
            <v>0</v>
          </cell>
          <cell r="I285" t="str">
            <v>0</v>
          </cell>
          <cell r="J285">
            <v>93</v>
          </cell>
          <cell r="K285">
            <v>1187</v>
          </cell>
          <cell r="L285">
            <v>1200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16955</v>
          </cell>
          <cell r="G286">
            <v>93</v>
          </cell>
          <cell r="H286" t="str">
            <v>0</v>
          </cell>
          <cell r="I286" t="str">
            <v>0</v>
          </cell>
          <cell r="J286">
            <v>93</v>
          </cell>
          <cell r="K286">
            <v>1187</v>
          </cell>
          <cell r="L286">
            <v>1200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16955</v>
          </cell>
          <cell r="G287">
            <v>93</v>
          </cell>
          <cell r="H287" t="str">
            <v>0</v>
          </cell>
          <cell r="I287" t="str">
            <v>0</v>
          </cell>
          <cell r="J287">
            <v>93</v>
          </cell>
          <cell r="K287">
            <v>1187</v>
          </cell>
          <cell r="L287">
            <v>1200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16955</v>
          </cell>
          <cell r="G288">
            <v>85</v>
          </cell>
          <cell r="H288" t="str">
            <v>0</v>
          </cell>
          <cell r="I288" t="str">
            <v>0</v>
          </cell>
          <cell r="J288">
            <v>85</v>
          </cell>
          <cell r="K288">
            <v>2543</v>
          </cell>
          <cell r="L288">
            <v>2500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17190</v>
          </cell>
          <cell r="G289">
            <v>85</v>
          </cell>
          <cell r="H289" t="str">
            <v>0</v>
          </cell>
          <cell r="I289" t="str">
            <v>0</v>
          </cell>
          <cell r="J289">
            <v>85</v>
          </cell>
          <cell r="K289">
            <v>2579</v>
          </cell>
          <cell r="L289">
            <v>2600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16955</v>
          </cell>
          <cell r="G290">
            <v>85</v>
          </cell>
          <cell r="H290" t="str">
            <v>0</v>
          </cell>
          <cell r="I290" t="str">
            <v>0</v>
          </cell>
          <cell r="J290">
            <v>85</v>
          </cell>
          <cell r="K290">
            <v>2543</v>
          </cell>
          <cell r="L290">
            <v>2500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5879</v>
          </cell>
          <cell r="G291">
            <v>85</v>
          </cell>
          <cell r="H291" t="str">
            <v>0</v>
          </cell>
          <cell r="I291" t="str">
            <v>0</v>
          </cell>
          <cell r="J291">
            <v>85</v>
          </cell>
          <cell r="K291">
            <v>882</v>
          </cell>
          <cell r="L291">
            <v>880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16955</v>
          </cell>
          <cell r="G292">
            <v>82</v>
          </cell>
          <cell r="H292" t="str">
            <v>0</v>
          </cell>
          <cell r="I292" t="str">
            <v>0</v>
          </cell>
          <cell r="J292">
            <v>82</v>
          </cell>
          <cell r="K292">
            <v>3052</v>
          </cell>
          <cell r="L292">
            <v>3100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16955</v>
          </cell>
          <cell r="G293">
            <v>83</v>
          </cell>
          <cell r="H293" t="str">
            <v>0</v>
          </cell>
          <cell r="I293" t="str">
            <v>0</v>
          </cell>
          <cell r="J293">
            <v>83</v>
          </cell>
          <cell r="K293">
            <v>2882</v>
          </cell>
          <cell r="L293">
            <v>2900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17190</v>
          </cell>
          <cell r="G294">
            <v>83</v>
          </cell>
          <cell r="H294" t="str">
            <v>0</v>
          </cell>
          <cell r="I294" t="str">
            <v>0</v>
          </cell>
          <cell r="J294">
            <v>83</v>
          </cell>
          <cell r="K294">
            <v>2922</v>
          </cell>
          <cell r="L294">
            <v>2900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16955</v>
          </cell>
          <cell r="G295">
            <v>83</v>
          </cell>
          <cell r="H295" t="str">
            <v>0</v>
          </cell>
          <cell r="I295" t="str">
            <v>0</v>
          </cell>
          <cell r="J295">
            <v>83</v>
          </cell>
          <cell r="K295">
            <v>2882</v>
          </cell>
          <cell r="L295">
            <v>2900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16955</v>
          </cell>
          <cell r="G296">
            <v>83</v>
          </cell>
          <cell r="H296" t="str">
            <v>0</v>
          </cell>
          <cell r="I296" t="str">
            <v>0</v>
          </cell>
          <cell r="J296">
            <v>83</v>
          </cell>
          <cell r="K296">
            <v>2882</v>
          </cell>
          <cell r="L296">
            <v>2900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11076</v>
          </cell>
          <cell r="G297">
            <v>98</v>
          </cell>
          <cell r="H297" t="str">
            <v>0</v>
          </cell>
          <cell r="I297" t="str">
            <v>0</v>
          </cell>
          <cell r="J297">
            <v>98</v>
          </cell>
          <cell r="K297">
            <v>222</v>
          </cell>
          <cell r="L297">
            <v>220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12711</v>
          </cell>
          <cell r="G298">
            <v>27</v>
          </cell>
          <cell r="H298" t="str">
            <v>0</v>
          </cell>
          <cell r="I298" t="str">
            <v>0</v>
          </cell>
          <cell r="J298">
            <v>27</v>
          </cell>
          <cell r="K298">
            <v>9279</v>
          </cell>
          <cell r="L298">
            <v>9300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17190</v>
          </cell>
          <cell r="G299">
            <v>38</v>
          </cell>
          <cell r="H299" t="str">
            <v>0</v>
          </cell>
          <cell r="I299" t="str">
            <v>0</v>
          </cell>
          <cell r="J299">
            <v>38</v>
          </cell>
          <cell r="K299">
            <v>10658</v>
          </cell>
          <cell r="L299">
            <v>11000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15120</v>
          </cell>
          <cell r="G300">
            <v>38</v>
          </cell>
          <cell r="H300" t="str">
            <v>0</v>
          </cell>
          <cell r="I300" t="str">
            <v>0</v>
          </cell>
          <cell r="J300">
            <v>38</v>
          </cell>
          <cell r="K300">
            <v>9374</v>
          </cell>
          <cell r="L300">
            <v>9400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15120</v>
          </cell>
          <cell r="G301">
            <v>38</v>
          </cell>
          <cell r="H301" t="str">
            <v>0</v>
          </cell>
          <cell r="I301" t="str">
            <v>0</v>
          </cell>
          <cell r="J301">
            <v>38</v>
          </cell>
          <cell r="K301">
            <v>9374</v>
          </cell>
          <cell r="L301">
            <v>9400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15120</v>
          </cell>
          <cell r="G302">
            <v>38</v>
          </cell>
          <cell r="H302" t="str">
            <v>0</v>
          </cell>
          <cell r="I302" t="str">
            <v>0</v>
          </cell>
          <cell r="J302">
            <v>38</v>
          </cell>
          <cell r="K302">
            <v>9374</v>
          </cell>
          <cell r="L302">
            <v>9400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95763</v>
          </cell>
          <cell r="G303">
            <v>97</v>
          </cell>
          <cell r="H303" t="str">
            <v>0</v>
          </cell>
          <cell r="I303" t="str">
            <v>0</v>
          </cell>
          <cell r="J303">
            <v>97</v>
          </cell>
          <cell r="K303">
            <v>2873</v>
          </cell>
          <cell r="L303">
            <v>2900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34380</v>
          </cell>
          <cell r="G304">
            <v>43</v>
          </cell>
          <cell r="H304" t="str">
            <v>0</v>
          </cell>
          <cell r="I304" t="str">
            <v>0</v>
          </cell>
          <cell r="J304">
            <v>43</v>
          </cell>
          <cell r="K304">
            <v>19597</v>
          </cell>
          <cell r="L304">
            <v>20000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15097</v>
          </cell>
          <cell r="G305">
            <v>43</v>
          </cell>
          <cell r="H305" t="str">
            <v>0</v>
          </cell>
          <cell r="I305" t="str">
            <v>0</v>
          </cell>
          <cell r="J305">
            <v>43</v>
          </cell>
          <cell r="K305">
            <v>8605</v>
          </cell>
          <cell r="L305">
            <v>8600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15097</v>
          </cell>
          <cell r="G306">
            <v>43</v>
          </cell>
          <cell r="H306" t="str">
            <v>0</v>
          </cell>
          <cell r="I306" t="str">
            <v>0</v>
          </cell>
          <cell r="J306">
            <v>43</v>
          </cell>
          <cell r="K306">
            <v>8605</v>
          </cell>
          <cell r="L306">
            <v>8600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10695</v>
          </cell>
          <cell r="G307">
            <v>10</v>
          </cell>
          <cell r="H307" t="str">
            <v>0</v>
          </cell>
          <cell r="I307" t="str">
            <v>0</v>
          </cell>
          <cell r="J307">
            <v>10</v>
          </cell>
          <cell r="K307">
            <v>9626</v>
          </cell>
          <cell r="L307">
            <v>9600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16955</v>
          </cell>
          <cell r="G308">
            <v>98</v>
          </cell>
          <cell r="H308" t="str">
            <v>0</v>
          </cell>
          <cell r="I308" t="str">
            <v>0</v>
          </cell>
          <cell r="J308">
            <v>98</v>
          </cell>
          <cell r="K308">
            <v>339</v>
          </cell>
          <cell r="L308">
            <v>340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24009</v>
          </cell>
          <cell r="G309">
            <v>95</v>
          </cell>
          <cell r="H309" t="str">
            <v>0</v>
          </cell>
          <cell r="I309" t="str">
            <v>0</v>
          </cell>
          <cell r="J309">
            <v>95</v>
          </cell>
          <cell r="K309">
            <v>1200</v>
          </cell>
          <cell r="L309">
            <v>1200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41271</v>
          </cell>
          <cell r="G310">
            <v>8</v>
          </cell>
          <cell r="H310" t="str">
            <v>0</v>
          </cell>
          <cell r="I310" t="str">
            <v>0</v>
          </cell>
          <cell r="J310">
            <v>8</v>
          </cell>
          <cell r="K310">
            <v>37969</v>
          </cell>
          <cell r="L310">
            <v>38000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15991</v>
          </cell>
          <cell r="G311">
            <v>10</v>
          </cell>
          <cell r="H311" t="str">
            <v>0</v>
          </cell>
          <cell r="I311" t="str">
            <v>0</v>
          </cell>
          <cell r="J311">
            <v>10</v>
          </cell>
          <cell r="K311">
            <v>14392</v>
          </cell>
          <cell r="L311">
            <v>14000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117580</v>
          </cell>
          <cell r="G312">
            <v>3</v>
          </cell>
          <cell r="H312" t="str">
            <v>0</v>
          </cell>
          <cell r="I312" t="str">
            <v>0</v>
          </cell>
          <cell r="J312">
            <v>3</v>
          </cell>
          <cell r="K312">
            <v>114053</v>
          </cell>
          <cell r="L312">
            <v>114000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70547</v>
          </cell>
          <cell r="G313">
            <v>3</v>
          </cell>
          <cell r="H313" t="str">
            <v>0</v>
          </cell>
          <cell r="I313" t="str">
            <v>0</v>
          </cell>
          <cell r="J313">
            <v>3</v>
          </cell>
          <cell r="K313">
            <v>68431</v>
          </cell>
          <cell r="L313">
            <v>68000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4421</v>
          </cell>
          <cell r="G314">
            <v>75</v>
          </cell>
          <cell r="H314" t="str">
            <v>0</v>
          </cell>
          <cell r="I314" t="str">
            <v>0</v>
          </cell>
          <cell r="J314">
            <v>75</v>
          </cell>
          <cell r="K314">
            <v>1105</v>
          </cell>
          <cell r="L314">
            <v>1100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4421</v>
          </cell>
          <cell r="G315">
            <v>75</v>
          </cell>
          <cell r="H315" t="str">
            <v>0</v>
          </cell>
          <cell r="I315" t="str">
            <v>0</v>
          </cell>
          <cell r="J315">
            <v>75</v>
          </cell>
          <cell r="K315">
            <v>1105</v>
          </cell>
          <cell r="L315">
            <v>1100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5096</v>
          </cell>
          <cell r="G316">
            <v>65</v>
          </cell>
          <cell r="H316" t="str">
            <v>0</v>
          </cell>
          <cell r="I316" t="str">
            <v>0</v>
          </cell>
          <cell r="J316">
            <v>65</v>
          </cell>
          <cell r="K316">
            <v>1784</v>
          </cell>
          <cell r="L316">
            <v>1800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5096</v>
          </cell>
          <cell r="G317">
            <v>65</v>
          </cell>
          <cell r="H317" t="str">
            <v>0</v>
          </cell>
          <cell r="I317" t="str">
            <v>0</v>
          </cell>
          <cell r="J317">
            <v>65</v>
          </cell>
          <cell r="K317">
            <v>1784</v>
          </cell>
          <cell r="L317">
            <v>1800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5096</v>
          </cell>
          <cell r="G318">
            <v>65</v>
          </cell>
          <cell r="H318" t="str">
            <v>0</v>
          </cell>
          <cell r="I318" t="str">
            <v>0</v>
          </cell>
          <cell r="J318">
            <v>65</v>
          </cell>
          <cell r="K318">
            <v>1784</v>
          </cell>
          <cell r="L318">
            <v>1800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5096</v>
          </cell>
          <cell r="G319">
            <v>65</v>
          </cell>
          <cell r="H319" t="str">
            <v>0</v>
          </cell>
          <cell r="I319" t="str">
            <v>0</v>
          </cell>
          <cell r="J319">
            <v>65</v>
          </cell>
          <cell r="K319">
            <v>1784</v>
          </cell>
          <cell r="L319">
            <v>1800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5096</v>
          </cell>
          <cell r="G320">
            <v>65</v>
          </cell>
          <cell r="H320" t="str">
            <v>0</v>
          </cell>
          <cell r="I320" t="str">
            <v>0</v>
          </cell>
          <cell r="J320">
            <v>65</v>
          </cell>
          <cell r="K320">
            <v>1784</v>
          </cell>
          <cell r="L320">
            <v>1800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5096</v>
          </cell>
          <cell r="G321">
            <v>65</v>
          </cell>
          <cell r="H321" t="str">
            <v>0</v>
          </cell>
          <cell r="I321" t="str">
            <v>0</v>
          </cell>
          <cell r="J321">
            <v>65</v>
          </cell>
          <cell r="K321">
            <v>1784</v>
          </cell>
          <cell r="L321">
            <v>1800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44522</v>
          </cell>
          <cell r="G322">
            <v>40</v>
          </cell>
          <cell r="H322" t="str">
            <v>0</v>
          </cell>
          <cell r="I322" t="str">
            <v>0</v>
          </cell>
          <cell r="J322">
            <v>40</v>
          </cell>
          <cell r="K322">
            <v>26713</v>
          </cell>
          <cell r="L322">
            <v>27000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12063</v>
          </cell>
          <cell r="G323">
            <v>40</v>
          </cell>
          <cell r="H323" t="str">
            <v>0</v>
          </cell>
          <cell r="I323" t="str">
            <v>0</v>
          </cell>
          <cell r="J323">
            <v>40</v>
          </cell>
          <cell r="K323">
            <v>7238</v>
          </cell>
          <cell r="L323">
            <v>7200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11076</v>
          </cell>
          <cell r="G324">
            <v>40</v>
          </cell>
          <cell r="H324" t="str">
            <v>0</v>
          </cell>
          <cell r="I324" t="str">
            <v>0</v>
          </cell>
          <cell r="J324">
            <v>40</v>
          </cell>
          <cell r="K324">
            <v>6646</v>
          </cell>
          <cell r="L324">
            <v>6600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34615</v>
          </cell>
          <cell r="G325">
            <v>18</v>
          </cell>
          <cell r="H325" t="str">
            <v>0</v>
          </cell>
          <cell r="I325" t="str">
            <v>0</v>
          </cell>
          <cell r="J325">
            <v>18</v>
          </cell>
          <cell r="K325">
            <v>28384</v>
          </cell>
          <cell r="L325">
            <v>28000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24009</v>
          </cell>
          <cell r="G326">
            <v>18</v>
          </cell>
          <cell r="H326" t="str">
            <v>0</v>
          </cell>
          <cell r="I326" t="str">
            <v>0</v>
          </cell>
          <cell r="J326">
            <v>18</v>
          </cell>
          <cell r="K326">
            <v>19687</v>
          </cell>
          <cell r="L326">
            <v>20000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16955</v>
          </cell>
          <cell r="G327">
            <v>18</v>
          </cell>
          <cell r="H327" t="str">
            <v>0</v>
          </cell>
          <cell r="I327" t="str">
            <v>0</v>
          </cell>
          <cell r="J327">
            <v>18</v>
          </cell>
          <cell r="K327">
            <v>13903</v>
          </cell>
          <cell r="L327">
            <v>14000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16955</v>
          </cell>
          <cell r="G328">
            <v>18</v>
          </cell>
          <cell r="H328" t="str">
            <v>0</v>
          </cell>
          <cell r="I328" t="str">
            <v>0</v>
          </cell>
          <cell r="J328">
            <v>18</v>
          </cell>
          <cell r="K328">
            <v>13903</v>
          </cell>
          <cell r="L328">
            <v>14000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16955</v>
          </cell>
          <cell r="G329">
            <v>18</v>
          </cell>
          <cell r="H329" t="str">
            <v>0</v>
          </cell>
          <cell r="I329" t="str">
            <v>0</v>
          </cell>
          <cell r="J329">
            <v>18</v>
          </cell>
          <cell r="K329">
            <v>13903</v>
          </cell>
          <cell r="L329">
            <v>14000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16955</v>
          </cell>
          <cell r="G330">
            <v>18</v>
          </cell>
          <cell r="H330" t="str">
            <v>0</v>
          </cell>
          <cell r="I330" t="str">
            <v>0</v>
          </cell>
          <cell r="J330">
            <v>18</v>
          </cell>
          <cell r="K330">
            <v>13903</v>
          </cell>
          <cell r="L330">
            <v>14000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19894</v>
          </cell>
          <cell r="G331">
            <v>18</v>
          </cell>
          <cell r="H331" t="str">
            <v>0</v>
          </cell>
          <cell r="I331" t="str">
            <v>0</v>
          </cell>
          <cell r="J331">
            <v>18</v>
          </cell>
          <cell r="K331">
            <v>16313</v>
          </cell>
          <cell r="L331">
            <v>16000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19894</v>
          </cell>
          <cell r="G332">
            <v>18</v>
          </cell>
          <cell r="H332" t="str">
            <v>0</v>
          </cell>
          <cell r="I332" t="str">
            <v>0</v>
          </cell>
          <cell r="J332">
            <v>18</v>
          </cell>
          <cell r="K332">
            <v>16313</v>
          </cell>
          <cell r="L332">
            <v>16000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16955</v>
          </cell>
          <cell r="G333">
            <v>18</v>
          </cell>
          <cell r="H333" t="str">
            <v>0</v>
          </cell>
          <cell r="I333" t="str">
            <v>0</v>
          </cell>
          <cell r="J333">
            <v>18</v>
          </cell>
          <cell r="K333">
            <v>13903</v>
          </cell>
          <cell r="L333">
            <v>14000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28196</v>
          </cell>
          <cell r="G334">
            <v>98</v>
          </cell>
          <cell r="H334" t="str">
            <v>0</v>
          </cell>
          <cell r="I334" t="str">
            <v>0</v>
          </cell>
          <cell r="J334">
            <v>98</v>
          </cell>
          <cell r="K334">
            <v>564</v>
          </cell>
          <cell r="L334">
            <v>560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28196</v>
          </cell>
          <cell r="G335">
            <v>98</v>
          </cell>
          <cell r="H335" t="str">
            <v>0</v>
          </cell>
          <cell r="I335" t="str">
            <v>0</v>
          </cell>
          <cell r="J335">
            <v>98</v>
          </cell>
          <cell r="K335">
            <v>564</v>
          </cell>
          <cell r="L335">
            <v>560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16955</v>
          </cell>
          <cell r="G336">
            <v>98</v>
          </cell>
          <cell r="H336" t="str">
            <v>0</v>
          </cell>
          <cell r="I336" t="str">
            <v>0</v>
          </cell>
          <cell r="J336">
            <v>98</v>
          </cell>
          <cell r="K336">
            <v>339</v>
          </cell>
          <cell r="L336">
            <v>340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15820</v>
          </cell>
          <cell r="G337">
            <v>98</v>
          </cell>
          <cell r="H337" t="str">
            <v>0</v>
          </cell>
          <cell r="I337" t="str">
            <v>0</v>
          </cell>
          <cell r="J337">
            <v>98</v>
          </cell>
          <cell r="K337">
            <v>316</v>
          </cell>
          <cell r="L337">
            <v>320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8729</v>
          </cell>
          <cell r="G338">
            <v>92</v>
          </cell>
          <cell r="H338" t="str">
            <v>0</v>
          </cell>
          <cell r="I338" t="str">
            <v>0</v>
          </cell>
          <cell r="J338">
            <v>92</v>
          </cell>
          <cell r="K338">
            <v>698</v>
          </cell>
          <cell r="L338">
            <v>700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15820</v>
          </cell>
          <cell r="G339">
            <v>90</v>
          </cell>
          <cell r="H339" t="str">
            <v>0</v>
          </cell>
          <cell r="I339" t="str">
            <v>0</v>
          </cell>
          <cell r="J339">
            <v>90</v>
          </cell>
          <cell r="K339">
            <v>1582</v>
          </cell>
          <cell r="L339">
            <v>1600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16955</v>
          </cell>
          <cell r="G340">
            <v>88</v>
          </cell>
          <cell r="H340" t="str">
            <v>0</v>
          </cell>
          <cell r="I340" t="str">
            <v>0</v>
          </cell>
          <cell r="J340">
            <v>88</v>
          </cell>
          <cell r="K340">
            <v>2035</v>
          </cell>
          <cell r="L340">
            <v>2000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16955</v>
          </cell>
          <cell r="G341">
            <v>88</v>
          </cell>
          <cell r="H341" t="str">
            <v>0</v>
          </cell>
          <cell r="I341" t="str">
            <v>0</v>
          </cell>
          <cell r="J341">
            <v>88</v>
          </cell>
          <cell r="K341">
            <v>2035</v>
          </cell>
          <cell r="L341">
            <v>2000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16955</v>
          </cell>
          <cell r="G342">
            <v>88</v>
          </cell>
          <cell r="H342" t="str">
            <v>0</v>
          </cell>
          <cell r="I342" t="str">
            <v>0</v>
          </cell>
          <cell r="J342">
            <v>88</v>
          </cell>
          <cell r="K342">
            <v>2035</v>
          </cell>
          <cell r="L342">
            <v>2000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16955</v>
          </cell>
          <cell r="G343">
            <v>88</v>
          </cell>
          <cell r="H343" t="str">
            <v>0</v>
          </cell>
          <cell r="I343" t="str">
            <v>0</v>
          </cell>
          <cell r="J343">
            <v>88</v>
          </cell>
          <cell r="K343">
            <v>2035</v>
          </cell>
          <cell r="L343">
            <v>2000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16955</v>
          </cell>
          <cell r="G344">
            <v>88</v>
          </cell>
          <cell r="H344" t="str">
            <v>0</v>
          </cell>
          <cell r="I344" t="str">
            <v>0</v>
          </cell>
          <cell r="J344">
            <v>88</v>
          </cell>
          <cell r="K344">
            <v>2035</v>
          </cell>
          <cell r="L344">
            <v>2000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15820</v>
          </cell>
          <cell r="G345">
            <v>88</v>
          </cell>
          <cell r="H345" t="str">
            <v>0</v>
          </cell>
          <cell r="I345" t="str">
            <v>0</v>
          </cell>
          <cell r="J345">
            <v>88</v>
          </cell>
          <cell r="K345">
            <v>1898</v>
          </cell>
          <cell r="L345">
            <v>1900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44522</v>
          </cell>
          <cell r="G346">
            <v>40</v>
          </cell>
          <cell r="H346" t="str">
            <v>0</v>
          </cell>
          <cell r="I346" t="str">
            <v>0</v>
          </cell>
          <cell r="J346">
            <v>40</v>
          </cell>
          <cell r="K346">
            <v>26713</v>
          </cell>
          <cell r="L346">
            <v>27000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34380</v>
          </cell>
          <cell r="G347">
            <v>40</v>
          </cell>
          <cell r="H347" t="str">
            <v>0</v>
          </cell>
          <cell r="I347" t="str">
            <v>0</v>
          </cell>
          <cell r="J347">
            <v>40</v>
          </cell>
          <cell r="K347">
            <v>20628</v>
          </cell>
          <cell r="L347">
            <v>21000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13875</v>
          </cell>
          <cell r="G348">
            <v>40</v>
          </cell>
          <cell r="H348" t="str">
            <v>0</v>
          </cell>
          <cell r="I348" t="str">
            <v>0</v>
          </cell>
          <cell r="J348">
            <v>40</v>
          </cell>
          <cell r="K348">
            <v>8325</v>
          </cell>
          <cell r="L348">
            <v>8300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8653</v>
          </cell>
          <cell r="G349">
            <v>40</v>
          </cell>
          <cell r="H349" t="str">
            <v>0</v>
          </cell>
          <cell r="I349" t="str">
            <v>0</v>
          </cell>
          <cell r="J349">
            <v>40</v>
          </cell>
          <cell r="K349">
            <v>5192</v>
          </cell>
          <cell r="L349">
            <v>5200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5879</v>
          </cell>
          <cell r="G350">
            <v>40</v>
          </cell>
          <cell r="H350" t="str">
            <v>0</v>
          </cell>
          <cell r="I350" t="str">
            <v>0</v>
          </cell>
          <cell r="J350">
            <v>40</v>
          </cell>
          <cell r="K350">
            <v>3527</v>
          </cell>
          <cell r="L350">
            <v>3500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8653</v>
          </cell>
          <cell r="G351">
            <v>40</v>
          </cell>
          <cell r="H351" t="str">
            <v>0</v>
          </cell>
          <cell r="I351" t="str">
            <v>0</v>
          </cell>
          <cell r="J351">
            <v>40</v>
          </cell>
          <cell r="K351">
            <v>5192</v>
          </cell>
          <cell r="L351">
            <v>5200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28807</v>
          </cell>
          <cell r="G352">
            <v>77</v>
          </cell>
          <cell r="H352" t="str">
            <v>0</v>
          </cell>
          <cell r="I352" t="str">
            <v>0</v>
          </cell>
          <cell r="J352">
            <v>77</v>
          </cell>
          <cell r="K352">
            <v>6626</v>
          </cell>
          <cell r="L352">
            <v>6600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4421</v>
          </cell>
          <cell r="G353">
            <v>75</v>
          </cell>
          <cell r="H353" t="str">
            <v>0</v>
          </cell>
          <cell r="I353" t="str">
            <v>0</v>
          </cell>
          <cell r="J353">
            <v>75</v>
          </cell>
          <cell r="K353">
            <v>1105</v>
          </cell>
          <cell r="L353">
            <v>1100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1851</v>
          </cell>
          <cell r="G354">
            <v>52</v>
          </cell>
          <cell r="H354" t="str">
            <v>0</v>
          </cell>
          <cell r="I354" t="str">
            <v>0</v>
          </cell>
          <cell r="J354">
            <v>52</v>
          </cell>
          <cell r="K354">
            <v>888</v>
          </cell>
          <cell r="L354">
            <v>890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1851</v>
          </cell>
          <cell r="G355">
            <v>52</v>
          </cell>
          <cell r="H355" t="str">
            <v>0</v>
          </cell>
          <cell r="I355" t="str">
            <v>0</v>
          </cell>
          <cell r="J355">
            <v>52</v>
          </cell>
          <cell r="K355">
            <v>888</v>
          </cell>
          <cell r="L355">
            <v>890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1851</v>
          </cell>
          <cell r="G356">
            <v>52</v>
          </cell>
          <cell r="H356" t="str">
            <v>0</v>
          </cell>
          <cell r="I356" t="str">
            <v>0</v>
          </cell>
          <cell r="J356">
            <v>52</v>
          </cell>
          <cell r="K356">
            <v>888</v>
          </cell>
          <cell r="L356">
            <v>890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1851</v>
          </cell>
          <cell r="G357">
            <v>52</v>
          </cell>
          <cell r="H357" t="str">
            <v>0</v>
          </cell>
          <cell r="I357" t="str">
            <v>0</v>
          </cell>
          <cell r="J357">
            <v>52</v>
          </cell>
          <cell r="K357">
            <v>888</v>
          </cell>
          <cell r="L357">
            <v>890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1851</v>
          </cell>
          <cell r="G358">
            <v>52</v>
          </cell>
          <cell r="H358" t="str">
            <v>0</v>
          </cell>
          <cell r="I358" t="str">
            <v>0</v>
          </cell>
          <cell r="J358">
            <v>52</v>
          </cell>
          <cell r="K358">
            <v>888</v>
          </cell>
          <cell r="L358">
            <v>890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1851</v>
          </cell>
          <cell r="G359">
            <v>52</v>
          </cell>
          <cell r="H359" t="str">
            <v>0</v>
          </cell>
          <cell r="I359" t="str">
            <v>0</v>
          </cell>
          <cell r="J359">
            <v>52</v>
          </cell>
          <cell r="K359">
            <v>888</v>
          </cell>
          <cell r="L359">
            <v>890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23636</v>
          </cell>
          <cell r="G360">
            <v>58</v>
          </cell>
          <cell r="H360" t="str">
            <v>0</v>
          </cell>
          <cell r="I360" t="str">
            <v>0</v>
          </cell>
          <cell r="J360">
            <v>58</v>
          </cell>
          <cell r="K360">
            <v>9927</v>
          </cell>
          <cell r="L360">
            <v>9900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28807</v>
          </cell>
          <cell r="G361">
            <v>82</v>
          </cell>
          <cell r="H361" t="str">
            <v>0</v>
          </cell>
          <cell r="I361" t="str">
            <v>0</v>
          </cell>
          <cell r="J361">
            <v>82</v>
          </cell>
          <cell r="K361">
            <v>5185</v>
          </cell>
          <cell r="L361">
            <v>5200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3644</v>
          </cell>
          <cell r="G362">
            <v>77</v>
          </cell>
          <cell r="H362" t="str">
            <v>0</v>
          </cell>
          <cell r="I362" t="str">
            <v>0</v>
          </cell>
          <cell r="J362">
            <v>77</v>
          </cell>
          <cell r="K362">
            <v>838</v>
          </cell>
          <cell r="L362">
            <v>840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4119</v>
          </cell>
          <cell r="G363">
            <v>17</v>
          </cell>
          <cell r="H363" t="str">
            <v>0</v>
          </cell>
          <cell r="I363" t="str">
            <v>0</v>
          </cell>
          <cell r="J363">
            <v>17</v>
          </cell>
          <cell r="K363">
            <v>3419</v>
          </cell>
          <cell r="L363">
            <v>3400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2818</v>
          </cell>
          <cell r="G364">
            <v>17</v>
          </cell>
          <cell r="H364" t="str">
            <v>0</v>
          </cell>
          <cell r="I364" t="str">
            <v>0</v>
          </cell>
          <cell r="J364">
            <v>17</v>
          </cell>
          <cell r="K364">
            <v>2339</v>
          </cell>
          <cell r="L364">
            <v>2300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2818</v>
          </cell>
          <cell r="G365">
            <v>17</v>
          </cell>
          <cell r="H365" t="str">
            <v>0</v>
          </cell>
          <cell r="I365" t="str">
            <v>0</v>
          </cell>
          <cell r="J365">
            <v>17</v>
          </cell>
          <cell r="K365">
            <v>2339</v>
          </cell>
          <cell r="L365">
            <v>2300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2818</v>
          </cell>
          <cell r="G366">
            <v>17</v>
          </cell>
          <cell r="H366" t="str">
            <v>0</v>
          </cell>
          <cell r="I366" t="str">
            <v>0</v>
          </cell>
          <cell r="J366">
            <v>17</v>
          </cell>
          <cell r="K366">
            <v>2339</v>
          </cell>
          <cell r="L366">
            <v>2300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2818</v>
          </cell>
          <cell r="G367">
            <v>17</v>
          </cell>
          <cell r="H367" t="str">
            <v>0</v>
          </cell>
          <cell r="I367" t="str">
            <v>0</v>
          </cell>
          <cell r="J367">
            <v>17</v>
          </cell>
          <cell r="K367">
            <v>2339</v>
          </cell>
          <cell r="L367">
            <v>2300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16955</v>
          </cell>
          <cell r="G368">
            <v>93</v>
          </cell>
          <cell r="H368" t="str">
            <v>0</v>
          </cell>
          <cell r="I368" t="str">
            <v>0</v>
          </cell>
          <cell r="J368">
            <v>93</v>
          </cell>
          <cell r="K368">
            <v>1187</v>
          </cell>
          <cell r="L368">
            <v>1200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16955</v>
          </cell>
          <cell r="G369">
            <v>93</v>
          </cell>
          <cell r="H369" t="str">
            <v>0</v>
          </cell>
          <cell r="I369" t="str">
            <v>0</v>
          </cell>
          <cell r="J369">
            <v>93</v>
          </cell>
          <cell r="K369">
            <v>1187</v>
          </cell>
          <cell r="L369">
            <v>1200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16955</v>
          </cell>
          <cell r="G370">
            <v>92</v>
          </cell>
          <cell r="H370" t="str">
            <v>0</v>
          </cell>
          <cell r="I370" t="str">
            <v>0</v>
          </cell>
          <cell r="J370">
            <v>92</v>
          </cell>
          <cell r="K370">
            <v>1356</v>
          </cell>
          <cell r="L370">
            <v>1400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16955</v>
          </cell>
          <cell r="G371">
            <v>92</v>
          </cell>
          <cell r="H371" t="str">
            <v>0</v>
          </cell>
          <cell r="I371" t="str">
            <v>0</v>
          </cell>
          <cell r="J371">
            <v>92</v>
          </cell>
          <cell r="K371">
            <v>1356</v>
          </cell>
          <cell r="L371">
            <v>1400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27043</v>
          </cell>
          <cell r="G372">
            <v>53</v>
          </cell>
          <cell r="H372" t="str">
            <v>0</v>
          </cell>
          <cell r="I372" t="str">
            <v>0</v>
          </cell>
          <cell r="J372">
            <v>53</v>
          </cell>
          <cell r="K372">
            <v>12710</v>
          </cell>
          <cell r="L372">
            <v>13000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8138</v>
          </cell>
          <cell r="G373">
            <v>53</v>
          </cell>
          <cell r="H373" t="str">
            <v>0</v>
          </cell>
          <cell r="I373" t="str">
            <v>0</v>
          </cell>
          <cell r="J373">
            <v>53</v>
          </cell>
          <cell r="K373">
            <v>3825</v>
          </cell>
          <cell r="L373">
            <v>3800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19894</v>
          </cell>
          <cell r="G374">
            <v>37</v>
          </cell>
          <cell r="H374" t="str">
            <v>0</v>
          </cell>
          <cell r="I374" t="str">
            <v>0</v>
          </cell>
          <cell r="J374">
            <v>37</v>
          </cell>
          <cell r="K374">
            <v>12533</v>
          </cell>
          <cell r="L374">
            <v>13000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17190</v>
          </cell>
          <cell r="G375">
            <v>37</v>
          </cell>
          <cell r="H375" t="str">
            <v>0</v>
          </cell>
          <cell r="I375" t="str">
            <v>0</v>
          </cell>
          <cell r="J375">
            <v>37</v>
          </cell>
          <cell r="K375">
            <v>10830</v>
          </cell>
          <cell r="L375">
            <v>11000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60710</v>
          </cell>
          <cell r="G376">
            <v>33</v>
          </cell>
          <cell r="H376" t="str">
            <v>0</v>
          </cell>
          <cell r="I376" t="str">
            <v>0</v>
          </cell>
          <cell r="J376">
            <v>33</v>
          </cell>
          <cell r="K376">
            <v>40676</v>
          </cell>
          <cell r="L376">
            <v>41000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15756</v>
          </cell>
          <cell r="G377">
            <v>83</v>
          </cell>
          <cell r="H377" t="str">
            <v>0</v>
          </cell>
          <cell r="I377" t="str">
            <v>0</v>
          </cell>
          <cell r="J377">
            <v>83</v>
          </cell>
          <cell r="K377">
            <v>2679</v>
          </cell>
          <cell r="L377">
            <v>2700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19377</v>
          </cell>
          <cell r="G378">
            <v>7</v>
          </cell>
          <cell r="H378" t="str">
            <v>0</v>
          </cell>
          <cell r="I378" t="str">
            <v>0</v>
          </cell>
          <cell r="J378">
            <v>7</v>
          </cell>
          <cell r="K378">
            <v>18021</v>
          </cell>
          <cell r="L378">
            <v>18000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19377</v>
          </cell>
          <cell r="G379">
            <v>7</v>
          </cell>
          <cell r="H379" t="str">
            <v>0</v>
          </cell>
          <cell r="I379" t="str">
            <v>0</v>
          </cell>
          <cell r="J379">
            <v>7</v>
          </cell>
          <cell r="K379">
            <v>18021</v>
          </cell>
          <cell r="L379">
            <v>18000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19377</v>
          </cell>
          <cell r="G380">
            <v>7</v>
          </cell>
          <cell r="H380" t="str">
            <v>0</v>
          </cell>
          <cell r="I380" t="str">
            <v>0</v>
          </cell>
          <cell r="J380">
            <v>7</v>
          </cell>
          <cell r="K380">
            <v>18021</v>
          </cell>
          <cell r="L380">
            <v>18000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19377</v>
          </cell>
          <cell r="G381">
            <v>7</v>
          </cell>
          <cell r="H381" t="str">
            <v>0</v>
          </cell>
          <cell r="I381" t="str">
            <v>0</v>
          </cell>
          <cell r="J381">
            <v>7</v>
          </cell>
          <cell r="K381">
            <v>18021</v>
          </cell>
          <cell r="L381">
            <v>18000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25397</v>
          </cell>
          <cell r="G382">
            <v>29</v>
          </cell>
          <cell r="H382" t="str">
            <v>0</v>
          </cell>
          <cell r="I382" t="str">
            <v>0</v>
          </cell>
          <cell r="J382">
            <v>29</v>
          </cell>
          <cell r="K382">
            <v>18032</v>
          </cell>
          <cell r="L382">
            <v>18000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25903</v>
          </cell>
          <cell r="G383">
            <v>97</v>
          </cell>
          <cell r="H383" t="str">
            <v>0</v>
          </cell>
          <cell r="I383" t="str">
            <v>0</v>
          </cell>
          <cell r="J383">
            <v>97</v>
          </cell>
          <cell r="K383">
            <v>777</v>
          </cell>
          <cell r="L383">
            <v>780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4021</v>
          </cell>
          <cell r="G384">
            <v>53</v>
          </cell>
          <cell r="H384" t="str">
            <v>0</v>
          </cell>
          <cell r="I384" t="str">
            <v>0</v>
          </cell>
          <cell r="J384">
            <v>53</v>
          </cell>
          <cell r="K384">
            <v>1890</v>
          </cell>
          <cell r="L384">
            <v>1900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24009</v>
          </cell>
          <cell r="G385">
            <v>53</v>
          </cell>
          <cell r="H385" t="str">
            <v>0</v>
          </cell>
          <cell r="I385" t="str">
            <v>0</v>
          </cell>
          <cell r="J385">
            <v>53</v>
          </cell>
          <cell r="K385">
            <v>11284</v>
          </cell>
          <cell r="L385">
            <v>11000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5096</v>
          </cell>
          <cell r="G386">
            <v>65</v>
          </cell>
          <cell r="H386" t="str">
            <v>0</v>
          </cell>
          <cell r="I386" t="str">
            <v>0</v>
          </cell>
          <cell r="J386">
            <v>65</v>
          </cell>
          <cell r="K386">
            <v>1784</v>
          </cell>
          <cell r="L386">
            <v>1800</v>
          </cell>
        </row>
        <row r="387">
          <cell r="E387">
            <v>12045014.41</v>
          </cell>
          <cell r="F387">
            <v>13518395</v>
          </cell>
          <cell r="K387">
            <v>7710716</v>
          </cell>
          <cell r="L387">
            <v>7716420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  <sheetName val="Параметры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год"/>
      <sheetName val="БДДС_АПК"/>
      <sheetName val="ФОТ"/>
      <sheetName val="подстилка"/>
      <sheetName val="зоо. вет.преп."/>
      <sheetName val="Ветерин.усл."/>
      <sheetName val="Эл.Эн.2009"/>
      <sheetName val="Б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F "/>
      <sheetName val="СFсокр"/>
      <sheetName val="себест-ть"/>
      <sheetName val="СF"/>
      <sheetName val="ПланФакт"/>
      <sheetName val="Реализация"/>
      <sheetName val="СводныйХаркон"/>
      <sheetName val="СвЭксперт"/>
      <sheetName val="СводБал-кс"/>
      <sheetName val="СводЛион"/>
      <sheetName val="СвХаркон"/>
      <sheetName val="ГПБИ GPBI РСЭМ"/>
      <sheetName val="СводныйЭксперт"/>
      <sheetName val="ГПБИ_GPBI_РСЭМ"/>
      <sheetName val="СвЛион"/>
      <sheetName val="СвБал-кс"/>
      <sheetName val="ГLoans"/>
      <sheetName val="ПКLoans"/>
      <sheetName val="распрХаркон"/>
      <sheetName val="Харкон субконто"/>
      <sheetName val="субкХаркон"/>
      <sheetName val="распрЭксперт"/>
      <sheetName val="распр РСЭМ"/>
      <sheetName val="распрЛион"/>
      <sheetName val="Валют.сч.Эксперт"/>
      <sheetName val="р.с Эскперт"/>
      <sheetName val="РСЭМ"/>
      <sheetName val="р.с. Бал-кс"/>
      <sheetName val="распрБал-кс"/>
      <sheetName val="постГПБИ"/>
      <sheetName val="выпл ГПБИ"/>
      <sheetName val="постGPBI"/>
      <sheetName val="выплGPBI"/>
      <sheetName val="CF ГПБИ"/>
      <sheetName val="Харкон"/>
      <sheetName val="Реализ_исх"/>
      <sheetName val="экспертПланUSD"/>
      <sheetName val="ЭкспертПланруб"/>
      <sheetName val="ЭкспертПланЕвро"/>
      <sheetName val="ХарконПланруб"/>
      <sheetName val="ХарконПланЕвро"/>
      <sheetName val="ХарконПланДолл"/>
      <sheetName val="КУРС"/>
      <sheetName val="справочники"/>
      <sheetName val="Лист3"/>
      <sheetName val="свед"/>
      <sheetName val="Л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Дата</v>
          </cell>
        </row>
        <row r="3">
          <cell r="A3" t="str">
            <v>прогноз</v>
          </cell>
        </row>
        <row r="4">
          <cell r="A4">
            <v>37895</v>
          </cell>
        </row>
        <row r="5">
          <cell r="A5">
            <v>37896</v>
          </cell>
        </row>
        <row r="6">
          <cell r="A6">
            <v>37897</v>
          </cell>
        </row>
        <row r="7">
          <cell r="A7">
            <v>37898</v>
          </cell>
        </row>
        <row r="8">
          <cell r="A8">
            <v>37899</v>
          </cell>
        </row>
        <row r="9">
          <cell r="A9">
            <v>37900</v>
          </cell>
        </row>
        <row r="10">
          <cell r="A10">
            <v>37901</v>
          </cell>
        </row>
        <row r="11">
          <cell r="A11">
            <v>37902</v>
          </cell>
        </row>
        <row r="12">
          <cell r="A12">
            <v>37903</v>
          </cell>
        </row>
        <row r="13">
          <cell r="A13">
            <v>37904</v>
          </cell>
        </row>
        <row r="14">
          <cell r="A14">
            <v>37905</v>
          </cell>
        </row>
        <row r="15">
          <cell r="A15">
            <v>37906</v>
          </cell>
        </row>
        <row r="16">
          <cell r="A16">
            <v>37907</v>
          </cell>
        </row>
        <row r="17">
          <cell r="A17">
            <v>37908</v>
          </cell>
        </row>
        <row r="18">
          <cell r="A18">
            <v>37909</v>
          </cell>
        </row>
        <row r="19">
          <cell r="A19">
            <v>37910</v>
          </cell>
        </row>
        <row r="20">
          <cell r="A20">
            <v>37911</v>
          </cell>
        </row>
        <row r="21">
          <cell r="A21">
            <v>37912</v>
          </cell>
        </row>
        <row r="22">
          <cell r="A22">
            <v>37913</v>
          </cell>
        </row>
        <row r="23">
          <cell r="A23">
            <v>37914</v>
          </cell>
        </row>
        <row r="24">
          <cell r="A24">
            <v>37915</v>
          </cell>
        </row>
        <row r="25">
          <cell r="A25">
            <v>37916</v>
          </cell>
        </row>
        <row r="26">
          <cell r="A26">
            <v>37917</v>
          </cell>
        </row>
        <row r="27">
          <cell r="A27">
            <v>37918</v>
          </cell>
        </row>
        <row r="28">
          <cell r="A28">
            <v>37919</v>
          </cell>
        </row>
        <row r="29">
          <cell r="A29">
            <v>37920</v>
          </cell>
        </row>
        <row r="30">
          <cell r="A30">
            <v>37921</v>
          </cell>
        </row>
        <row r="31">
          <cell r="A31">
            <v>37922</v>
          </cell>
        </row>
        <row r="32">
          <cell r="A32">
            <v>37923</v>
          </cell>
        </row>
        <row r="33">
          <cell r="A33">
            <v>37924</v>
          </cell>
        </row>
        <row r="34">
          <cell r="A34">
            <v>37925</v>
          </cell>
        </row>
        <row r="35">
          <cell r="A35">
            <v>37926</v>
          </cell>
        </row>
        <row r="36">
          <cell r="A36">
            <v>37927</v>
          </cell>
        </row>
        <row r="37">
          <cell r="A37">
            <v>37928</v>
          </cell>
        </row>
        <row r="38">
          <cell r="A38">
            <v>37929</v>
          </cell>
        </row>
        <row r="39">
          <cell r="A39">
            <v>37930</v>
          </cell>
        </row>
        <row r="40">
          <cell r="A40">
            <v>37931</v>
          </cell>
        </row>
        <row r="41">
          <cell r="A41">
            <v>37932</v>
          </cell>
        </row>
        <row r="42">
          <cell r="A42">
            <v>37933</v>
          </cell>
        </row>
        <row r="43">
          <cell r="A43">
            <v>37934</v>
          </cell>
        </row>
        <row r="44">
          <cell r="A44">
            <v>37935</v>
          </cell>
        </row>
        <row r="45">
          <cell r="A45">
            <v>37936</v>
          </cell>
        </row>
        <row r="46">
          <cell r="A46">
            <v>37937</v>
          </cell>
        </row>
        <row r="47">
          <cell r="A47">
            <v>37938</v>
          </cell>
        </row>
        <row r="48">
          <cell r="A48">
            <v>37939</v>
          </cell>
        </row>
        <row r="49">
          <cell r="A49">
            <v>37940</v>
          </cell>
        </row>
        <row r="50">
          <cell r="A50">
            <v>37941</v>
          </cell>
        </row>
        <row r="51">
          <cell r="A51">
            <v>37942</v>
          </cell>
        </row>
        <row r="52">
          <cell r="A52">
            <v>37943</v>
          </cell>
        </row>
        <row r="53">
          <cell r="A53">
            <v>37944</v>
          </cell>
        </row>
        <row r="54">
          <cell r="A54">
            <v>37945</v>
          </cell>
        </row>
        <row r="55">
          <cell r="A55">
            <v>37946</v>
          </cell>
        </row>
        <row r="56">
          <cell r="A56">
            <v>37947</v>
          </cell>
        </row>
        <row r="57">
          <cell r="A57">
            <v>37948</v>
          </cell>
        </row>
        <row r="58">
          <cell r="A58">
            <v>37949</v>
          </cell>
        </row>
        <row r="59">
          <cell r="A59">
            <v>37950</v>
          </cell>
        </row>
        <row r="60">
          <cell r="A60">
            <v>37951</v>
          </cell>
        </row>
        <row r="61">
          <cell r="A61">
            <v>37952</v>
          </cell>
        </row>
        <row r="62">
          <cell r="A62">
            <v>37953</v>
          </cell>
        </row>
        <row r="63">
          <cell r="A63">
            <v>37954</v>
          </cell>
        </row>
        <row r="64">
          <cell r="A64">
            <v>37955</v>
          </cell>
        </row>
        <row r="65">
          <cell r="A65">
            <v>37956</v>
          </cell>
        </row>
        <row r="66">
          <cell r="A66">
            <v>37957</v>
          </cell>
        </row>
        <row r="67">
          <cell r="A67">
            <v>37958</v>
          </cell>
        </row>
        <row r="68">
          <cell r="A68">
            <v>37959</v>
          </cell>
        </row>
        <row r="69">
          <cell r="A69">
            <v>37960</v>
          </cell>
        </row>
        <row r="70">
          <cell r="A70">
            <v>37961</v>
          </cell>
        </row>
        <row r="71">
          <cell r="A71">
            <v>37962</v>
          </cell>
        </row>
        <row r="72">
          <cell r="A72">
            <v>37963</v>
          </cell>
        </row>
        <row r="73">
          <cell r="A73">
            <v>37964</v>
          </cell>
        </row>
        <row r="74">
          <cell r="A74">
            <v>37965</v>
          </cell>
        </row>
        <row r="75">
          <cell r="A75">
            <v>37966</v>
          </cell>
        </row>
        <row r="76">
          <cell r="A76">
            <v>37967</v>
          </cell>
        </row>
        <row r="77">
          <cell r="A77">
            <v>37968</v>
          </cell>
        </row>
        <row r="78">
          <cell r="A78">
            <v>37969</v>
          </cell>
        </row>
        <row r="79">
          <cell r="A79">
            <v>37970</v>
          </cell>
        </row>
        <row r="80">
          <cell r="A80">
            <v>37971</v>
          </cell>
        </row>
        <row r="81">
          <cell r="A81">
            <v>37972</v>
          </cell>
        </row>
        <row r="82">
          <cell r="A82">
            <v>37973</v>
          </cell>
        </row>
        <row r="83">
          <cell r="A83">
            <v>37974</v>
          </cell>
        </row>
        <row r="84">
          <cell r="A84">
            <v>37975</v>
          </cell>
        </row>
        <row r="85">
          <cell r="A85">
            <v>37976</v>
          </cell>
        </row>
        <row r="86">
          <cell r="A86">
            <v>37977</v>
          </cell>
        </row>
        <row r="87">
          <cell r="A87">
            <v>37978</v>
          </cell>
        </row>
        <row r="88">
          <cell r="A88">
            <v>37979</v>
          </cell>
        </row>
        <row r="89">
          <cell r="A89">
            <v>37980</v>
          </cell>
        </row>
        <row r="90">
          <cell r="A90">
            <v>37981</v>
          </cell>
        </row>
        <row r="91">
          <cell r="A91">
            <v>37982</v>
          </cell>
        </row>
        <row r="92">
          <cell r="A92">
            <v>37983</v>
          </cell>
        </row>
        <row r="93">
          <cell r="A93">
            <v>37984</v>
          </cell>
        </row>
        <row r="94">
          <cell r="A94">
            <v>37985</v>
          </cell>
        </row>
        <row r="95">
          <cell r="A95">
            <v>37986</v>
          </cell>
        </row>
        <row r="96">
          <cell r="A96">
            <v>37987</v>
          </cell>
        </row>
        <row r="97">
          <cell r="A97">
            <v>37988</v>
          </cell>
        </row>
        <row r="98">
          <cell r="A98">
            <v>37989</v>
          </cell>
        </row>
        <row r="99">
          <cell r="A99">
            <v>37990</v>
          </cell>
        </row>
        <row r="100">
          <cell r="A100">
            <v>37991</v>
          </cell>
        </row>
        <row r="101">
          <cell r="A101">
            <v>37992</v>
          </cell>
        </row>
        <row r="102">
          <cell r="A102">
            <v>37993</v>
          </cell>
        </row>
        <row r="103">
          <cell r="A103">
            <v>37994</v>
          </cell>
        </row>
        <row r="104">
          <cell r="A104">
            <v>37995</v>
          </cell>
        </row>
        <row r="105">
          <cell r="A105">
            <v>37996</v>
          </cell>
        </row>
        <row r="106">
          <cell r="A106">
            <v>37997</v>
          </cell>
        </row>
        <row r="107">
          <cell r="A107">
            <v>37998</v>
          </cell>
        </row>
        <row r="108">
          <cell r="A108">
            <v>37999</v>
          </cell>
        </row>
        <row r="109">
          <cell r="A109">
            <v>38000</v>
          </cell>
        </row>
        <row r="110">
          <cell r="A110">
            <v>38001</v>
          </cell>
        </row>
        <row r="111">
          <cell r="A111">
            <v>38002</v>
          </cell>
        </row>
        <row r="112">
          <cell r="A112">
            <v>38003</v>
          </cell>
        </row>
        <row r="113">
          <cell r="A113">
            <v>38004</v>
          </cell>
        </row>
        <row r="114">
          <cell r="A114">
            <v>38005</v>
          </cell>
        </row>
        <row r="115">
          <cell r="A115">
            <v>38006</v>
          </cell>
        </row>
        <row r="116">
          <cell r="A116">
            <v>38007</v>
          </cell>
        </row>
        <row r="117">
          <cell r="A117">
            <v>38008</v>
          </cell>
        </row>
        <row r="118">
          <cell r="A118">
            <v>38009</v>
          </cell>
        </row>
        <row r="119">
          <cell r="A119">
            <v>38010</v>
          </cell>
        </row>
        <row r="120">
          <cell r="A120">
            <v>38011</v>
          </cell>
        </row>
        <row r="121">
          <cell r="A121">
            <v>38012</v>
          </cell>
        </row>
        <row r="122">
          <cell r="A122">
            <v>38013</v>
          </cell>
        </row>
        <row r="123">
          <cell r="A123">
            <v>38014</v>
          </cell>
        </row>
        <row r="124">
          <cell r="A124">
            <v>38015</v>
          </cell>
        </row>
        <row r="125">
          <cell r="A125">
            <v>38016</v>
          </cell>
        </row>
        <row r="126">
          <cell r="A126">
            <v>38017</v>
          </cell>
        </row>
        <row r="127">
          <cell r="A127">
            <v>38018</v>
          </cell>
        </row>
        <row r="128">
          <cell r="A128">
            <v>38019</v>
          </cell>
        </row>
        <row r="129">
          <cell r="A129">
            <v>38020</v>
          </cell>
        </row>
        <row r="130">
          <cell r="A130">
            <v>38021</v>
          </cell>
        </row>
        <row r="131">
          <cell r="A131">
            <v>38022</v>
          </cell>
        </row>
        <row r="132">
          <cell r="A132">
            <v>38023</v>
          </cell>
        </row>
        <row r="133">
          <cell r="A133">
            <v>38024</v>
          </cell>
        </row>
        <row r="134">
          <cell r="A134">
            <v>38025</v>
          </cell>
        </row>
        <row r="135">
          <cell r="A135">
            <v>38026</v>
          </cell>
        </row>
        <row r="136">
          <cell r="A136">
            <v>38027</v>
          </cell>
        </row>
        <row r="137">
          <cell r="A137">
            <v>38028</v>
          </cell>
        </row>
        <row r="138">
          <cell r="A138">
            <v>38029</v>
          </cell>
        </row>
        <row r="139">
          <cell r="A139">
            <v>38030</v>
          </cell>
        </row>
        <row r="140">
          <cell r="A140">
            <v>38031</v>
          </cell>
        </row>
        <row r="141">
          <cell r="A141">
            <v>38032</v>
          </cell>
        </row>
        <row r="142">
          <cell r="A142">
            <v>38033</v>
          </cell>
        </row>
        <row r="143">
          <cell r="A143">
            <v>38034</v>
          </cell>
        </row>
        <row r="144">
          <cell r="A144">
            <v>38035</v>
          </cell>
        </row>
        <row r="145">
          <cell r="A145">
            <v>38036</v>
          </cell>
        </row>
        <row r="146">
          <cell r="A146">
            <v>38037</v>
          </cell>
        </row>
        <row r="147">
          <cell r="A147">
            <v>38038</v>
          </cell>
        </row>
        <row r="148">
          <cell r="A148">
            <v>38039</v>
          </cell>
        </row>
        <row r="149">
          <cell r="A149">
            <v>38040</v>
          </cell>
        </row>
        <row r="150">
          <cell r="A150">
            <v>38041</v>
          </cell>
        </row>
        <row r="151">
          <cell r="A151">
            <v>38042</v>
          </cell>
        </row>
        <row r="152">
          <cell r="A152">
            <v>38043</v>
          </cell>
        </row>
        <row r="153">
          <cell r="A153">
            <v>38044</v>
          </cell>
        </row>
        <row r="154">
          <cell r="A154">
            <v>38045</v>
          </cell>
        </row>
        <row r="155">
          <cell r="A155">
            <v>38046</v>
          </cell>
        </row>
        <row r="156">
          <cell r="A156">
            <v>38047</v>
          </cell>
        </row>
        <row r="157">
          <cell r="A157">
            <v>38048</v>
          </cell>
        </row>
        <row r="158">
          <cell r="A158">
            <v>38049</v>
          </cell>
        </row>
        <row r="159">
          <cell r="A159">
            <v>38050</v>
          </cell>
        </row>
        <row r="160">
          <cell r="A160">
            <v>38051</v>
          </cell>
        </row>
        <row r="161">
          <cell r="A161">
            <v>38052</v>
          </cell>
        </row>
        <row r="162">
          <cell r="A162">
            <v>38053</v>
          </cell>
        </row>
        <row r="163">
          <cell r="A163">
            <v>38054</v>
          </cell>
        </row>
        <row r="164">
          <cell r="A164">
            <v>38055</v>
          </cell>
        </row>
        <row r="165">
          <cell r="A165">
            <v>38056</v>
          </cell>
        </row>
        <row r="166">
          <cell r="A166">
            <v>38057</v>
          </cell>
        </row>
        <row r="167">
          <cell r="A167">
            <v>38058</v>
          </cell>
        </row>
        <row r="168">
          <cell r="A168">
            <v>38059</v>
          </cell>
        </row>
        <row r="169">
          <cell r="A169">
            <v>38060</v>
          </cell>
        </row>
        <row r="170">
          <cell r="A170">
            <v>38061</v>
          </cell>
        </row>
        <row r="171">
          <cell r="A171">
            <v>38062</v>
          </cell>
        </row>
        <row r="172">
          <cell r="A172">
            <v>38063</v>
          </cell>
        </row>
        <row r="173">
          <cell r="A173">
            <v>38064</v>
          </cell>
        </row>
        <row r="174">
          <cell r="A174">
            <v>38065</v>
          </cell>
        </row>
        <row r="175">
          <cell r="A175">
            <v>38066</v>
          </cell>
        </row>
        <row r="176">
          <cell r="A176">
            <v>38067</v>
          </cell>
        </row>
        <row r="177">
          <cell r="A177">
            <v>38068</v>
          </cell>
        </row>
        <row r="178">
          <cell r="A178">
            <v>38069</v>
          </cell>
        </row>
        <row r="179">
          <cell r="A179">
            <v>38070</v>
          </cell>
        </row>
        <row r="180">
          <cell r="A180">
            <v>38071</v>
          </cell>
        </row>
        <row r="181">
          <cell r="A181">
            <v>38072</v>
          </cell>
        </row>
        <row r="182">
          <cell r="A182">
            <v>38073</v>
          </cell>
        </row>
        <row r="183">
          <cell r="A183">
            <v>38074</v>
          </cell>
        </row>
        <row r="184">
          <cell r="A184">
            <v>38075</v>
          </cell>
        </row>
        <row r="185">
          <cell r="A185">
            <v>38076</v>
          </cell>
        </row>
        <row r="186">
          <cell r="A186">
            <v>38077</v>
          </cell>
        </row>
        <row r="187">
          <cell r="A187">
            <v>38078</v>
          </cell>
        </row>
        <row r="188">
          <cell r="A188">
            <v>38079</v>
          </cell>
        </row>
        <row r="189">
          <cell r="A189">
            <v>38080</v>
          </cell>
        </row>
        <row r="190">
          <cell r="A190">
            <v>38081</v>
          </cell>
        </row>
        <row r="191">
          <cell r="A191">
            <v>38082</v>
          </cell>
        </row>
        <row r="192">
          <cell r="A192">
            <v>38083</v>
          </cell>
        </row>
        <row r="193">
          <cell r="A193">
            <v>38084</v>
          </cell>
        </row>
        <row r="194">
          <cell r="A194">
            <v>38085</v>
          </cell>
        </row>
        <row r="195">
          <cell r="A195">
            <v>38086</v>
          </cell>
        </row>
        <row r="196">
          <cell r="A196">
            <v>38087</v>
          </cell>
        </row>
        <row r="197">
          <cell r="A197">
            <v>38088</v>
          </cell>
        </row>
        <row r="198">
          <cell r="A198">
            <v>38089</v>
          </cell>
        </row>
        <row r="199">
          <cell r="A199">
            <v>38090</v>
          </cell>
        </row>
        <row r="200">
          <cell r="A200">
            <v>38091</v>
          </cell>
        </row>
        <row r="201">
          <cell r="A201">
            <v>38092</v>
          </cell>
        </row>
        <row r="202">
          <cell r="A202">
            <v>38093</v>
          </cell>
        </row>
        <row r="203">
          <cell r="A203">
            <v>38094</v>
          </cell>
        </row>
        <row r="204">
          <cell r="A204">
            <v>38095</v>
          </cell>
        </row>
        <row r="205">
          <cell r="A205">
            <v>38096</v>
          </cell>
        </row>
        <row r="206">
          <cell r="A206">
            <v>38097</v>
          </cell>
        </row>
        <row r="207">
          <cell r="A207">
            <v>38098</v>
          </cell>
        </row>
        <row r="208">
          <cell r="A208">
            <v>38099</v>
          </cell>
        </row>
        <row r="209">
          <cell r="A209">
            <v>38100</v>
          </cell>
        </row>
        <row r="210">
          <cell r="A210">
            <v>38101</v>
          </cell>
        </row>
        <row r="211">
          <cell r="A211">
            <v>38102</v>
          </cell>
        </row>
        <row r="212">
          <cell r="A212">
            <v>38103</v>
          </cell>
        </row>
        <row r="213">
          <cell r="A213">
            <v>38104</v>
          </cell>
        </row>
        <row r="214">
          <cell r="A214">
            <v>38105</v>
          </cell>
        </row>
        <row r="215">
          <cell r="A215">
            <v>38106</v>
          </cell>
        </row>
        <row r="216">
          <cell r="A216">
            <v>38107</v>
          </cell>
        </row>
        <row r="217">
          <cell r="A217">
            <v>38108</v>
          </cell>
        </row>
        <row r="218">
          <cell r="A218">
            <v>38109</v>
          </cell>
        </row>
        <row r="219">
          <cell r="A219">
            <v>38110</v>
          </cell>
        </row>
        <row r="220">
          <cell r="A220">
            <v>38111</v>
          </cell>
        </row>
        <row r="221">
          <cell r="A221">
            <v>38112</v>
          </cell>
        </row>
        <row r="222">
          <cell r="A222">
            <v>38113</v>
          </cell>
        </row>
        <row r="223">
          <cell r="A223">
            <v>38114</v>
          </cell>
        </row>
        <row r="224">
          <cell r="A224">
            <v>38115</v>
          </cell>
        </row>
        <row r="225">
          <cell r="A225">
            <v>38116</v>
          </cell>
        </row>
        <row r="226">
          <cell r="A226">
            <v>38117</v>
          </cell>
        </row>
        <row r="227">
          <cell r="A227">
            <v>38118</v>
          </cell>
        </row>
        <row r="228">
          <cell r="A228">
            <v>38119</v>
          </cell>
        </row>
        <row r="229">
          <cell r="A229">
            <v>38120</v>
          </cell>
        </row>
        <row r="230">
          <cell r="A230">
            <v>38121</v>
          </cell>
        </row>
        <row r="231">
          <cell r="A231">
            <v>38122</v>
          </cell>
        </row>
        <row r="232">
          <cell r="A232">
            <v>38123</v>
          </cell>
        </row>
        <row r="233">
          <cell r="A233">
            <v>38124</v>
          </cell>
        </row>
        <row r="234">
          <cell r="A234">
            <v>38125</v>
          </cell>
        </row>
        <row r="235">
          <cell r="A235">
            <v>38126</v>
          </cell>
        </row>
        <row r="236">
          <cell r="A236">
            <v>38127</v>
          </cell>
        </row>
        <row r="237">
          <cell r="A237">
            <v>38128</v>
          </cell>
        </row>
        <row r="238">
          <cell r="A238">
            <v>38129</v>
          </cell>
        </row>
        <row r="239">
          <cell r="A239">
            <v>38130</v>
          </cell>
        </row>
        <row r="240">
          <cell r="A240">
            <v>38131</v>
          </cell>
        </row>
        <row r="241">
          <cell r="A241">
            <v>38132</v>
          </cell>
        </row>
        <row r="242">
          <cell r="A242">
            <v>38133</v>
          </cell>
        </row>
        <row r="243">
          <cell r="A243">
            <v>38134</v>
          </cell>
        </row>
        <row r="244">
          <cell r="A244">
            <v>38135</v>
          </cell>
        </row>
        <row r="245">
          <cell r="A245">
            <v>38136</v>
          </cell>
        </row>
        <row r="246">
          <cell r="A246">
            <v>38137</v>
          </cell>
        </row>
        <row r="247">
          <cell r="A247">
            <v>38138</v>
          </cell>
        </row>
        <row r="248">
          <cell r="A248">
            <v>38139</v>
          </cell>
        </row>
        <row r="249">
          <cell r="A249">
            <v>38140</v>
          </cell>
        </row>
        <row r="250">
          <cell r="A250">
            <v>38141</v>
          </cell>
        </row>
        <row r="251">
          <cell r="A251">
            <v>38142</v>
          </cell>
        </row>
        <row r="252">
          <cell r="A252">
            <v>38143</v>
          </cell>
        </row>
        <row r="253">
          <cell r="A253">
            <v>38144</v>
          </cell>
        </row>
        <row r="254">
          <cell r="A254">
            <v>38145</v>
          </cell>
        </row>
        <row r="255">
          <cell r="A255">
            <v>38146</v>
          </cell>
        </row>
        <row r="256">
          <cell r="A256">
            <v>38147</v>
          </cell>
        </row>
        <row r="257">
          <cell r="A257">
            <v>38148</v>
          </cell>
        </row>
        <row r="258">
          <cell r="A258">
            <v>38149</v>
          </cell>
        </row>
        <row r="259">
          <cell r="A259">
            <v>38150</v>
          </cell>
        </row>
        <row r="260">
          <cell r="A260">
            <v>38151</v>
          </cell>
        </row>
        <row r="261">
          <cell r="A261">
            <v>38152</v>
          </cell>
        </row>
        <row r="262">
          <cell r="A262">
            <v>38153</v>
          </cell>
        </row>
        <row r="263">
          <cell r="A263">
            <v>38154</v>
          </cell>
        </row>
        <row r="264">
          <cell r="A264">
            <v>38155</v>
          </cell>
        </row>
        <row r="265">
          <cell r="A265">
            <v>38156</v>
          </cell>
        </row>
        <row r="266">
          <cell r="A266">
            <v>38157</v>
          </cell>
        </row>
        <row r="267">
          <cell r="A267">
            <v>38158</v>
          </cell>
        </row>
        <row r="268">
          <cell r="A268">
            <v>38159</v>
          </cell>
        </row>
        <row r="269">
          <cell r="A269">
            <v>38160</v>
          </cell>
        </row>
        <row r="270">
          <cell r="A270">
            <v>38161</v>
          </cell>
        </row>
        <row r="271">
          <cell r="A271">
            <v>38162</v>
          </cell>
        </row>
        <row r="272">
          <cell r="A272">
            <v>38163</v>
          </cell>
        </row>
        <row r="273">
          <cell r="A273">
            <v>38164</v>
          </cell>
        </row>
        <row r="274">
          <cell r="A274">
            <v>38165</v>
          </cell>
        </row>
        <row r="275">
          <cell r="A275">
            <v>38166</v>
          </cell>
        </row>
        <row r="276">
          <cell r="A276">
            <v>38167</v>
          </cell>
        </row>
        <row r="277">
          <cell r="A277">
            <v>38168</v>
          </cell>
        </row>
        <row r="278">
          <cell r="A278">
            <v>38169</v>
          </cell>
        </row>
        <row r="279">
          <cell r="A279">
            <v>38170</v>
          </cell>
        </row>
        <row r="280">
          <cell r="A280">
            <v>38171</v>
          </cell>
        </row>
        <row r="281">
          <cell r="A281">
            <v>38172</v>
          </cell>
        </row>
        <row r="282">
          <cell r="A282">
            <v>38173</v>
          </cell>
        </row>
        <row r="283">
          <cell r="A283">
            <v>38174</v>
          </cell>
        </row>
        <row r="284">
          <cell r="A284">
            <v>38175</v>
          </cell>
        </row>
        <row r="285">
          <cell r="A285">
            <v>38176</v>
          </cell>
        </row>
        <row r="286">
          <cell r="A286">
            <v>38177</v>
          </cell>
        </row>
        <row r="287">
          <cell r="A287">
            <v>38178</v>
          </cell>
        </row>
        <row r="288">
          <cell r="A288">
            <v>38179</v>
          </cell>
        </row>
        <row r="289">
          <cell r="A289">
            <v>38180</v>
          </cell>
        </row>
        <row r="290">
          <cell r="A290">
            <v>38181</v>
          </cell>
        </row>
        <row r="291">
          <cell r="A291">
            <v>38182</v>
          </cell>
        </row>
        <row r="292">
          <cell r="A292">
            <v>38183</v>
          </cell>
        </row>
        <row r="293">
          <cell r="A293">
            <v>38184</v>
          </cell>
        </row>
        <row r="294">
          <cell r="A294">
            <v>38185</v>
          </cell>
        </row>
        <row r="295">
          <cell r="A295">
            <v>38186</v>
          </cell>
        </row>
        <row r="296">
          <cell r="A296">
            <v>38187</v>
          </cell>
        </row>
        <row r="297">
          <cell r="A297">
            <v>38188</v>
          </cell>
        </row>
        <row r="298">
          <cell r="A298">
            <v>38189</v>
          </cell>
        </row>
        <row r="299">
          <cell r="A299">
            <v>38190</v>
          </cell>
        </row>
        <row r="300">
          <cell r="A300">
            <v>38191</v>
          </cell>
        </row>
        <row r="301">
          <cell r="A301">
            <v>38192</v>
          </cell>
        </row>
        <row r="302">
          <cell r="A302">
            <v>38193</v>
          </cell>
        </row>
        <row r="303">
          <cell r="A303">
            <v>38194</v>
          </cell>
        </row>
        <row r="304">
          <cell r="A304">
            <v>38195</v>
          </cell>
        </row>
        <row r="305">
          <cell r="A305">
            <v>38196</v>
          </cell>
        </row>
        <row r="306">
          <cell r="A306">
            <v>38197</v>
          </cell>
        </row>
        <row r="307">
          <cell r="A307">
            <v>38198</v>
          </cell>
        </row>
        <row r="308">
          <cell r="A308">
            <v>38199</v>
          </cell>
        </row>
        <row r="309">
          <cell r="A309">
            <v>38200</v>
          </cell>
        </row>
        <row r="310">
          <cell r="A310">
            <v>38201</v>
          </cell>
        </row>
        <row r="311">
          <cell r="A311">
            <v>38202</v>
          </cell>
        </row>
        <row r="312">
          <cell r="A312">
            <v>38203</v>
          </cell>
        </row>
        <row r="313">
          <cell r="A313">
            <v>38204</v>
          </cell>
        </row>
        <row r="314">
          <cell r="A314">
            <v>38205</v>
          </cell>
        </row>
        <row r="315">
          <cell r="A315">
            <v>38206</v>
          </cell>
        </row>
        <row r="316">
          <cell r="A316">
            <v>38207</v>
          </cell>
        </row>
        <row r="317">
          <cell r="A317">
            <v>38208</v>
          </cell>
        </row>
        <row r="318">
          <cell r="A318">
            <v>38209</v>
          </cell>
        </row>
        <row r="319">
          <cell r="A319">
            <v>38210</v>
          </cell>
        </row>
        <row r="320">
          <cell r="A320">
            <v>38211</v>
          </cell>
        </row>
        <row r="321">
          <cell r="A321">
            <v>38212</v>
          </cell>
        </row>
        <row r="322">
          <cell r="A322">
            <v>38213</v>
          </cell>
        </row>
        <row r="323">
          <cell r="A323">
            <v>38214</v>
          </cell>
        </row>
        <row r="324">
          <cell r="A324">
            <v>38215</v>
          </cell>
        </row>
        <row r="325">
          <cell r="A325">
            <v>38216</v>
          </cell>
        </row>
        <row r="326">
          <cell r="A326">
            <v>38217</v>
          </cell>
        </row>
        <row r="327">
          <cell r="A327">
            <v>38218</v>
          </cell>
        </row>
        <row r="328">
          <cell r="A328">
            <v>38219</v>
          </cell>
        </row>
        <row r="329">
          <cell r="A329">
            <v>38220</v>
          </cell>
        </row>
        <row r="330">
          <cell r="A330">
            <v>38221</v>
          </cell>
        </row>
        <row r="331">
          <cell r="A331">
            <v>38222</v>
          </cell>
        </row>
        <row r="332">
          <cell r="A332">
            <v>38223</v>
          </cell>
        </row>
        <row r="333">
          <cell r="A333">
            <v>38224</v>
          </cell>
        </row>
        <row r="334">
          <cell r="A334">
            <v>38225</v>
          </cell>
        </row>
        <row r="335">
          <cell r="A335">
            <v>38226</v>
          </cell>
        </row>
        <row r="336">
          <cell r="A336">
            <v>38227</v>
          </cell>
        </row>
        <row r="337">
          <cell r="A337">
            <v>38228</v>
          </cell>
        </row>
        <row r="338">
          <cell r="A338">
            <v>38229</v>
          </cell>
        </row>
        <row r="339">
          <cell r="A339">
            <v>38230</v>
          </cell>
        </row>
        <row r="340">
          <cell r="A340">
            <v>38231</v>
          </cell>
        </row>
        <row r="341">
          <cell r="A341">
            <v>38232</v>
          </cell>
        </row>
        <row r="342">
          <cell r="A342">
            <v>38233</v>
          </cell>
        </row>
        <row r="343">
          <cell r="A343">
            <v>38234</v>
          </cell>
        </row>
        <row r="344">
          <cell r="A344">
            <v>38235</v>
          </cell>
        </row>
        <row r="345">
          <cell r="A345">
            <v>38236</v>
          </cell>
        </row>
        <row r="346">
          <cell r="A346">
            <v>38237</v>
          </cell>
        </row>
        <row r="347">
          <cell r="A347">
            <v>38238</v>
          </cell>
        </row>
        <row r="348">
          <cell r="A348">
            <v>38239</v>
          </cell>
        </row>
        <row r="349">
          <cell r="A349">
            <v>38240</v>
          </cell>
        </row>
        <row r="350">
          <cell r="A350">
            <v>38241</v>
          </cell>
        </row>
        <row r="351">
          <cell r="A351">
            <v>38242</v>
          </cell>
        </row>
        <row r="352">
          <cell r="A352">
            <v>38243</v>
          </cell>
        </row>
        <row r="353">
          <cell r="A353">
            <v>38244</v>
          </cell>
        </row>
        <row r="354">
          <cell r="A354">
            <v>38245</v>
          </cell>
        </row>
        <row r="355">
          <cell r="A355">
            <v>38246</v>
          </cell>
        </row>
        <row r="356">
          <cell r="A356">
            <v>38247</v>
          </cell>
        </row>
        <row r="357">
          <cell r="A357">
            <v>38248</v>
          </cell>
        </row>
        <row r="358">
          <cell r="A358">
            <v>38249</v>
          </cell>
        </row>
        <row r="359">
          <cell r="A359">
            <v>38250</v>
          </cell>
        </row>
        <row r="360">
          <cell r="A360">
            <v>38251</v>
          </cell>
        </row>
        <row r="361">
          <cell r="A361">
            <v>38252</v>
          </cell>
        </row>
        <row r="362">
          <cell r="A362">
            <v>38253</v>
          </cell>
        </row>
        <row r="363">
          <cell r="A363">
            <v>38254</v>
          </cell>
        </row>
        <row r="364">
          <cell r="A364">
            <v>38255</v>
          </cell>
        </row>
        <row r="365">
          <cell r="A365">
            <v>38256</v>
          </cell>
        </row>
        <row r="366">
          <cell r="A366">
            <v>38257</v>
          </cell>
        </row>
        <row r="367">
          <cell r="A367">
            <v>38258</v>
          </cell>
        </row>
        <row r="368">
          <cell r="A368">
            <v>38259</v>
          </cell>
        </row>
        <row r="369">
          <cell r="A369">
            <v>38260</v>
          </cell>
        </row>
        <row r="370">
          <cell r="A370">
            <v>38261</v>
          </cell>
        </row>
        <row r="371">
          <cell r="A371">
            <v>38262</v>
          </cell>
        </row>
        <row r="372">
          <cell r="A372">
            <v>38263</v>
          </cell>
        </row>
        <row r="373">
          <cell r="A373">
            <v>38264</v>
          </cell>
        </row>
        <row r="374">
          <cell r="A374">
            <v>38265</v>
          </cell>
        </row>
        <row r="375">
          <cell r="A375">
            <v>38266</v>
          </cell>
        </row>
        <row r="376">
          <cell r="A376">
            <v>38267</v>
          </cell>
        </row>
        <row r="377">
          <cell r="A377">
            <v>38268</v>
          </cell>
        </row>
        <row r="378">
          <cell r="A378">
            <v>38269</v>
          </cell>
        </row>
        <row r="379">
          <cell r="A379">
            <v>38270</v>
          </cell>
        </row>
        <row r="380">
          <cell r="A380">
            <v>38271</v>
          </cell>
        </row>
        <row r="381">
          <cell r="A381">
            <v>38272</v>
          </cell>
        </row>
        <row r="382">
          <cell r="A382">
            <v>38273</v>
          </cell>
        </row>
        <row r="383">
          <cell r="A383">
            <v>38274</v>
          </cell>
        </row>
        <row r="384">
          <cell r="A384">
            <v>38275</v>
          </cell>
        </row>
        <row r="385">
          <cell r="A385">
            <v>38276</v>
          </cell>
        </row>
        <row r="386">
          <cell r="A386">
            <v>38277</v>
          </cell>
        </row>
        <row r="387">
          <cell r="A387">
            <v>38278</v>
          </cell>
        </row>
        <row r="388">
          <cell r="A388">
            <v>38279</v>
          </cell>
        </row>
        <row r="389">
          <cell r="A389">
            <v>38280</v>
          </cell>
        </row>
        <row r="390">
          <cell r="A390">
            <v>38281</v>
          </cell>
        </row>
        <row r="391">
          <cell r="A391">
            <v>38282</v>
          </cell>
        </row>
        <row r="392">
          <cell r="A392">
            <v>38283</v>
          </cell>
        </row>
        <row r="393">
          <cell r="A393">
            <v>38284</v>
          </cell>
        </row>
        <row r="394">
          <cell r="A394">
            <v>38285</v>
          </cell>
        </row>
        <row r="395">
          <cell r="A395">
            <v>38286</v>
          </cell>
        </row>
        <row r="396">
          <cell r="A396">
            <v>38287</v>
          </cell>
        </row>
        <row r="397">
          <cell r="A397">
            <v>38288</v>
          </cell>
        </row>
        <row r="398">
          <cell r="A398">
            <v>38289</v>
          </cell>
        </row>
        <row r="399">
          <cell r="A399">
            <v>38290</v>
          </cell>
        </row>
        <row r="400">
          <cell r="A400">
            <v>38291</v>
          </cell>
        </row>
        <row r="401">
          <cell r="A401">
            <v>38292</v>
          </cell>
        </row>
        <row r="402">
          <cell r="A402">
            <v>38293</v>
          </cell>
        </row>
        <row r="403">
          <cell r="A403">
            <v>38294</v>
          </cell>
        </row>
        <row r="404">
          <cell r="A404">
            <v>38295</v>
          </cell>
        </row>
        <row r="405">
          <cell r="A405">
            <v>38296</v>
          </cell>
        </row>
        <row r="406">
          <cell r="A406">
            <v>38297</v>
          </cell>
        </row>
        <row r="407">
          <cell r="A407">
            <v>38298</v>
          </cell>
        </row>
        <row r="408">
          <cell r="A408">
            <v>38299</v>
          </cell>
        </row>
        <row r="409">
          <cell r="A409">
            <v>38300</v>
          </cell>
        </row>
        <row r="410">
          <cell r="A410">
            <v>38301</v>
          </cell>
        </row>
        <row r="411">
          <cell r="A411">
            <v>38302</v>
          </cell>
        </row>
        <row r="412">
          <cell r="A412">
            <v>38303</v>
          </cell>
        </row>
        <row r="413">
          <cell r="A413">
            <v>38304</v>
          </cell>
        </row>
        <row r="414">
          <cell r="A414">
            <v>38305</v>
          </cell>
        </row>
        <row r="415">
          <cell r="A415">
            <v>38306</v>
          </cell>
        </row>
        <row r="416">
          <cell r="A416">
            <v>38307</v>
          </cell>
        </row>
        <row r="417">
          <cell r="A417">
            <v>38308</v>
          </cell>
        </row>
        <row r="418">
          <cell r="A418">
            <v>38309</v>
          </cell>
        </row>
        <row r="419">
          <cell r="A419">
            <v>38310</v>
          </cell>
        </row>
        <row r="420">
          <cell r="A420">
            <v>38311</v>
          </cell>
        </row>
        <row r="421">
          <cell r="A421">
            <v>38312</v>
          </cell>
        </row>
        <row r="422">
          <cell r="A422">
            <v>38313</v>
          </cell>
        </row>
        <row r="423">
          <cell r="A423">
            <v>38314</v>
          </cell>
        </row>
        <row r="424">
          <cell r="A424">
            <v>38315</v>
          </cell>
        </row>
        <row r="425">
          <cell r="A425">
            <v>38316</v>
          </cell>
        </row>
        <row r="426">
          <cell r="A426">
            <v>38317</v>
          </cell>
        </row>
        <row r="427">
          <cell r="A427">
            <v>38318</v>
          </cell>
        </row>
        <row r="428">
          <cell r="A428">
            <v>38319</v>
          </cell>
        </row>
        <row r="429">
          <cell r="A429">
            <v>38320</v>
          </cell>
        </row>
        <row r="430">
          <cell r="A430">
            <v>38321</v>
          </cell>
        </row>
        <row r="431">
          <cell r="A431">
            <v>38322</v>
          </cell>
        </row>
        <row r="432">
          <cell r="A432">
            <v>38323</v>
          </cell>
        </row>
        <row r="433">
          <cell r="A433">
            <v>38324</v>
          </cell>
        </row>
        <row r="434">
          <cell r="A434">
            <v>38325</v>
          </cell>
        </row>
        <row r="435">
          <cell r="A435">
            <v>38326</v>
          </cell>
        </row>
        <row r="436">
          <cell r="A436">
            <v>38327</v>
          </cell>
        </row>
        <row r="437">
          <cell r="A437">
            <v>38328</v>
          </cell>
        </row>
        <row r="438">
          <cell r="A438">
            <v>38329</v>
          </cell>
        </row>
        <row r="439">
          <cell r="A439">
            <v>38330</v>
          </cell>
        </row>
        <row r="440">
          <cell r="A440">
            <v>38331</v>
          </cell>
        </row>
        <row r="441">
          <cell r="A441">
            <v>38332</v>
          </cell>
        </row>
        <row r="442">
          <cell r="A442">
            <v>38333</v>
          </cell>
        </row>
        <row r="443">
          <cell r="A443">
            <v>38334</v>
          </cell>
        </row>
        <row r="444">
          <cell r="A444">
            <v>38335</v>
          </cell>
        </row>
        <row r="445">
          <cell r="A445">
            <v>38336</v>
          </cell>
        </row>
        <row r="446">
          <cell r="A446">
            <v>38337</v>
          </cell>
        </row>
        <row r="447">
          <cell r="A447">
            <v>38338</v>
          </cell>
        </row>
        <row r="448">
          <cell r="A448">
            <v>38339</v>
          </cell>
        </row>
        <row r="449">
          <cell r="A449">
            <v>38340</v>
          </cell>
        </row>
        <row r="450">
          <cell r="A450">
            <v>38341</v>
          </cell>
        </row>
        <row r="451">
          <cell r="A451">
            <v>38342</v>
          </cell>
        </row>
        <row r="452">
          <cell r="A452">
            <v>38343</v>
          </cell>
        </row>
        <row r="453">
          <cell r="A453">
            <v>38344</v>
          </cell>
        </row>
        <row r="454">
          <cell r="A454">
            <v>38345</v>
          </cell>
        </row>
        <row r="455">
          <cell r="A455">
            <v>38346</v>
          </cell>
        </row>
        <row r="456">
          <cell r="A456">
            <v>38347</v>
          </cell>
        </row>
        <row r="457">
          <cell r="A457">
            <v>38348</v>
          </cell>
        </row>
        <row r="458">
          <cell r="A458">
            <v>38349</v>
          </cell>
        </row>
        <row r="459">
          <cell r="A459">
            <v>38350</v>
          </cell>
        </row>
        <row r="460">
          <cell r="A460">
            <v>38351</v>
          </cell>
        </row>
        <row r="461">
          <cell r="A461">
            <v>38352</v>
          </cell>
        </row>
        <row r="462">
          <cell r="A462">
            <v>38353</v>
          </cell>
        </row>
        <row r="463">
          <cell r="A463">
            <v>38354</v>
          </cell>
        </row>
        <row r="464">
          <cell r="A464">
            <v>38355</v>
          </cell>
        </row>
        <row r="465">
          <cell r="A465">
            <v>38356</v>
          </cell>
        </row>
        <row r="466">
          <cell r="A466">
            <v>38357</v>
          </cell>
        </row>
        <row r="467">
          <cell r="A467">
            <v>38358</v>
          </cell>
        </row>
        <row r="468">
          <cell r="A468">
            <v>38359</v>
          </cell>
        </row>
        <row r="469">
          <cell r="A469">
            <v>38360</v>
          </cell>
        </row>
        <row r="470">
          <cell r="A470">
            <v>38361</v>
          </cell>
        </row>
        <row r="471">
          <cell r="A471">
            <v>38362</v>
          </cell>
        </row>
        <row r="472">
          <cell r="A472">
            <v>38363</v>
          </cell>
        </row>
        <row r="473">
          <cell r="A473">
            <v>38364</v>
          </cell>
        </row>
        <row r="474">
          <cell r="A474">
            <v>38365</v>
          </cell>
        </row>
        <row r="475">
          <cell r="A475">
            <v>38366</v>
          </cell>
        </row>
        <row r="476">
          <cell r="A476">
            <v>38367</v>
          </cell>
        </row>
        <row r="477">
          <cell r="A477">
            <v>38368</v>
          </cell>
        </row>
        <row r="478">
          <cell r="A478">
            <v>38369</v>
          </cell>
        </row>
        <row r="479">
          <cell r="A479">
            <v>38370</v>
          </cell>
        </row>
        <row r="480">
          <cell r="A480">
            <v>38371</v>
          </cell>
        </row>
        <row r="481">
          <cell r="A481">
            <v>38372</v>
          </cell>
        </row>
        <row r="482">
          <cell r="A482">
            <v>38373</v>
          </cell>
        </row>
        <row r="483">
          <cell r="A483">
            <v>38374</v>
          </cell>
        </row>
        <row r="484">
          <cell r="A484">
            <v>38375</v>
          </cell>
        </row>
        <row r="485">
          <cell r="A485">
            <v>38376</v>
          </cell>
        </row>
        <row r="486">
          <cell r="A486">
            <v>38377</v>
          </cell>
        </row>
        <row r="487">
          <cell r="A487">
            <v>38378</v>
          </cell>
        </row>
        <row r="488">
          <cell r="A488">
            <v>38379</v>
          </cell>
        </row>
        <row r="489">
          <cell r="A489">
            <v>38380</v>
          </cell>
        </row>
        <row r="490">
          <cell r="A490">
            <v>38381</v>
          </cell>
        </row>
        <row r="491">
          <cell r="A491">
            <v>38382</v>
          </cell>
        </row>
        <row r="492">
          <cell r="A492">
            <v>38383</v>
          </cell>
        </row>
        <row r="493">
          <cell r="A493">
            <v>38384</v>
          </cell>
        </row>
        <row r="494">
          <cell r="A494">
            <v>38385</v>
          </cell>
        </row>
        <row r="495">
          <cell r="A495">
            <v>38386</v>
          </cell>
        </row>
        <row r="496">
          <cell r="A496">
            <v>38387</v>
          </cell>
        </row>
        <row r="497">
          <cell r="A497">
            <v>38388</v>
          </cell>
        </row>
        <row r="498">
          <cell r="A498">
            <v>38389</v>
          </cell>
        </row>
        <row r="499">
          <cell r="A499">
            <v>38390</v>
          </cell>
        </row>
        <row r="500">
          <cell r="A500">
            <v>38391</v>
          </cell>
        </row>
        <row r="501">
          <cell r="A501">
            <v>38392</v>
          </cell>
        </row>
        <row r="502">
          <cell r="A502">
            <v>38393</v>
          </cell>
        </row>
        <row r="503">
          <cell r="A503">
            <v>38394</v>
          </cell>
        </row>
        <row r="504">
          <cell r="A504">
            <v>38395</v>
          </cell>
        </row>
        <row r="505">
          <cell r="A505">
            <v>38396</v>
          </cell>
        </row>
        <row r="506">
          <cell r="A506">
            <v>38397</v>
          </cell>
        </row>
        <row r="507">
          <cell r="A507">
            <v>38398</v>
          </cell>
        </row>
        <row r="508">
          <cell r="A508">
            <v>38399</v>
          </cell>
        </row>
        <row r="509">
          <cell r="A509">
            <v>38400</v>
          </cell>
        </row>
        <row r="510">
          <cell r="A510">
            <v>38401</v>
          </cell>
        </row>
        <row r="511">
          <cell r="A511">
            <v>38402</v>
          </cell>
        </row>
        <row r="512">
          <cell r="A512">
            <v>38403</v>
          </cell>
        </row>
        <row r="513">
          <cell r="A513">
            <v>38404</v>
          </cell>
        </row>
        <row r="514">
          <cell r="A514">
            <v>38405</v>
          </cell>
        </row>
        <row r="515">
          <cell r="A515">
            <v>38406</v>
          </cell>
        </row>
        <row r="516">
          <cell r="A516">
            <v>38407</v>
          </cell>
        </row>
        <row r="517">
          <cell r="A517">
            <v>38408</v>
          </cell>
        </row>
        <row r="518">
          <cell r="A518">
            <v>38409</v>
          </cell>
        </row>
        <row r="519">
          <cell r="A519">
            <v>38410</v>
          </cell>
        </row>
        <row r="520">
          <cell r="A520">
            <v>38411</v>
          </cell>
        </row>
        <row r="521">
          <cell r="A521">
            <v>38412</v>
          </cell>
        </row>
        <row r="522">
          <cell r="A522">
            <v>38413</v>
          </cell>
        </row>
        <row r="523">
          <cell r="A523">
            <v>38414</v>
          </cell>
        </row>
        <row r="524">
          <cell r="A524">
            <v>38415</v>
          </cell>
        </row>
        <row r="525">
          <cell r="A525">
            <v>38416</v>
          </cell>
        </row>
        <row r="526">
          <cell r="A526">
            <v>38417</v>
          </cell>
        </row>
        <row r="527">
          <cell r="A527">
            <v>38418</v>
          </cell>
        </row>
        <row r="528">
          <cell r="A528">
            <v>38419</v>
          </cell>
        </row>
        <row r="529">
          <cell r="A529">
            <v>38420</v>
          </cell>
        </row>
        <row r="530">
          <cell r="A530">
            <v>38421</v>
          </cell>
        </row>
        <row r="531">
          <cell r="A531">
            <v>38422</v>
          </cell>
        </row>
        <row r="532">
          <cell r="A532">
            <v>38423</v>
          </cell>
        </row>
        <row r="533">
          <cell r="A533">
            <v>38424</v>
          </cell>
        </row>
        <row r="534">
          <cell r="A534">
            <v>38425</v>
          </cell>
        </row>
        <row r="535">
          <cell r="A535">
            <v>38426</v>
          </cell>
        </row>
        <row r="536">
          <cell r="A536">
            <v>38427</v>
          </cell>
        </row>
        <row r="537">
          <cell r="A537">
            <v>38428</v>
          </cell>
        </row>
        <row r="538">
          <cell r="A538">
            <v>38429</v>
          </cell>
        </row>
        <row r="539">
          <cell r="A539">
            <v>38430</v>
          </cell>
        </row>
        <row r="540">
          <cell r="A540">
            <v>38431</v>
          </cell>
        </row>
        <row r="541">
          <cell r="A541">
            <v>38432</v>
          </cell>
        </row>
        <row r="542">
          <cell r="A542">
            <v>38433</v>
          </cell>
        </row>
        <row r="543">
          <cell r="A543">
            <v>38434</v>
          </cell>
        </row>
        <row r="544">
          <cell r="A544">
            <v>38435</v>
          </cell>
        </row>
        <row r="545">
          <cell r="A545">
            <v>38436</v>
          </cell>
        </row>
        <row r="546">
          <cell r="A546">
            <v>38437</v>
          </cell>
        </row>
        <row r="547">
          <cell r="A547">
            <v>38438</v>
          </cell>
        </row>
        <row r="548">
          <cell r="A548">
            <v>38439</v>
          </cell>
        </row>
        <row r="549">
          <cell r="A549">
            <v>38440</v>
          </cell>
        </row>
        <row r="550">
          <cell r="A550">
            <v>38441</v>
          </cell>
        </row>
        <row r="551">
          <cell r="A551">
            <v>38442</v>
          </cell>
        </row>
        <row r="552">
          <cell r="A552">
            <v>38443</v>
          </cell>
        </row>
        <row r="553">
          <cell r="A553">
            <v>38444</v>
          </cell>
        </row>
        <row r="554">
          <cell r="A554">
            <v>38445</v>
          </cell>
        </row>
        <row r="555">
          <cell r="A555">
            <v>38446</v>
          </cell>
        </row>
        <row r="556">
          <cell r="A556">
            <v>38447</v>
          </cell>
        </row>
        <row r="557">
          <cell r="A557">
            <v>38448</v>
          </cell>
        </row>
        <row r="558">
          <cell r="A558">
            <v>38449</v>
          </cell>
        </row>
        <row r="559">
          <cell r="A559">
            <v>38450</v>
          </cell>
        </row>
        <row r="560">
          <cell r="A560">
            <v>38451</v>
          </cell>
        </row>
        <row r="561">
          <cell r="A561">
            <v>38452</v>
          </cell>
        </row>
        <row r="562">
          <cell r="A562">
            <v>38453</v>
          </cell>
        </row>
        <row r="563">
          <cell r="A563">
            <v>38454</v>
          </cell>
        </row>
        <row r="564">
          <cell r="A564">
            <v>38455</v>
          </cell>
        </row>
        <row r="565">
          <cell r="A565">
            <v>38456</v>
          </cell>
        </row>
        <row r="566">
          <cell r="A566">
            <v>38457</v>
          </cell>
        </row>
        <row r="567">
          <cell r="A567">
            <v>38458</v>
          </cell>
        </row>
        <row r="568">
          <cell r="A568">
            <v>38459</v>
          </cell>
        </row>
        <row r="569">
          <cell r="A569">
            <v>38460</v>
          </cell>
        </row>
        <row r="570">
          <cell r="A570">
            <v>38461</v>
          </cell>
        </row>
        <row r="571">
          <cell r="A571">
            <v>38462</v>
          </cell>
        </row>
        <row r="572">
          <cell r="A572">
            <v>38463</v>
          </cell>
        </row>
        <row r="573">
          <cell r="A573">
            <v>38464</v>
          </cell>
        </row>
        <row r="574">
          <cell r="A574">
            <v>38465</v>
          </cell>
        </row>
        <row r="575">
          <cell r="A575">
            <v>38466</v>
          </cell>
        </row>
        <row r="576">
          <cell r="A576">
            <v>38467</v>
          </cell>
        </row>
        <row r="577">
          <cell r="A577">
            <v>38468</v>
          </cell>
        </row>
        <row r="578">
          <cell r="A578">
            <v>38469</v>
          </cell>
        </row>
        <row r="579">
          <cell r="A579">
            <v>38470</v>
          </cell>
        </row>
        <row r="580">
          <cell r="A580">
            <v>38471</v>
          </cell>
        </row>
        <row r="581">
          <cell r="A581">
            <v>38472</v>
          </cell>
        </row>
        <row r="582">
          <cell r="A582">
            <v>38473</v>
          </cell>
        </row>
        <row r="583">
          <cell r="A583">
            <v>38474</v>
          </cell>
        </row>
        <row r="584">
          <cell r="A584">
            <v>38475</v>
          </cell>
        </row>
        <row r="585">
          <cell r="A585">
            <v>38476</v>
          </cell>
        </row>
        <row r="586">
          <cell r="A586">
            <v>38477</v>
          </cell>
        </row>
        <row r="587">
          <cell r="A587">
            <v>38478</v>
          </cell>
        </row>
        <row r="588">
          <cell r="A588">
            <v>38479</v>
          </cell>
        </row>
        <row r="589">
          <cell r="A589">
            <v>38480</v>
          </cell>
        </row>
        <row r="590">
          <cell r="A590">
            <v>38481</v>
          </cell>
        </row>
        <row r="591">
          <cell r="A591">
            <v>38482</v>
          </cell>
        </row>
        <row r="592">
          <cell r="A592">
            <v>38483</v>
          </cell>
        </row>
        <row r="593">
          <cell r="A593">
            <v>38484</v>
          </cell>
        </row>
        <row r="594">
          <cell r="A594">
            <v>38485</v>
          </cell>
        </row>
        <row r="595">
          <cell r="A595">
            <v>38486</v>
          </cell>
        </row>
        <row r="596">
          <cell r="A596">
            <v>38487</v>
          </cell>
        </row>
        <row r="597">
          <cell r="A597">
            <v>38488</v>
          </cell>
        </row>
        <row r="598">
          <cell r="A598">
            <v>38489</v>
          </cell>
        </row>
        <row r="599">
          <cell r="A599">
            <v>38490</v>
          </cell>
        </row>
        <row r="600">
          <cell r="A600">
            <v>38491</v>
          </cell>
        </row>
        <row r="601">
          <cell r="A601">
            <v>38492</v>
          </cell>
        </row>
        <row r="602">
          <cell r="A602">
            <v>38493</v>
          </cell>
        </row>
        <row r="603">
          <cell r="A603">
            <v>38494</v>
          </cell>
        </row>
        <row r="604">
          <cell r="A604">
            <v>38495</v>
          </cell>
        </row>
        <row r="605">
          <cell r="A605">
            <v>38496</v>
          </cell>
        </row>
        <row r="606">
          <cell r="A606">
            <v>38497</v>
          </cell>
        </row>
        <row r="607">
          <cell r="A607">
            <v>38498</v>
          </cell>
        </row>
        <row r="608">
          <cell r="A608">
            <v>38499</v>
          </cell>
        </row>
        <row r="609">
          <cell r="A609">
            <v>38500</v>
          </cell>
        </row>
        <row r="610">
          <cell r="A610">
            <v>38501</v>
          </cell>
        </row>
        <row r="611">
          <cell r="A611">
            <v>38502</v>
          </cell>
        </row>
        <row r="612">
          <cell r="A612">
            <v>38503</v>
          </cell>
        </row>
        <row r="613">
          <cell r="A613">
            <v>38504</v>
          </cell>
        </row>
        <row r="614">
          <cell r="A614">
            <v>38505</v>
          </cell>
        </row>
        <row r="615">
          <cell r="A615">
            <v>38506</v>
          </cell>
        </row>
        <row r="616">
          <cell r="A616">
            <v>38507</v>
          </cell>
        </row>
        <row r="617">
          <cell r="A617">
            <v>38508</v>
          </cell>
        </row>
        <row r="618">
          <cell r="A618">
            <v>38509</v>
          </cell>
        </row>
        <row r="619">
          <cell r="A619">
            <v>38510</v>
          </cell>
        </row>
        <row r="620">
          <cell r="A620">
            <v>38511</v>
          </cell>
        </row>
        <row r="621">
          <cell r="A621">
            <v>38512</v>
          </cell>
        </row>
        <row r="622">
          <cell r="A622">
            <v>38513</v>
          </cell>
        </row>
        <row r="623">
          <cell r="A623">
            <v>38514</v>
          </cell>
        </row>
        <row r="624">
          <cell r="A624">
            <v>38515</v>
          </cell>
        </row>
        <row r="625">
          <cell r="A625">
            <v>38516</v>
          </cell>
        </row>
        <row r="626">
          <cell r="A626">
            <v>38517</v>
          </cell>
        </row>
        <row r="627">
          <cell r="A627">
            <v>38518</v>
          </cell>
        </row>
        <row r="628">
          <cell r="A628">
            <v>38519</v>
          </cell>
        </row>
        <row r="629">
          <cell r="A629">
            <v>38520</v>
          </cell>
        </row>
        <row r="630">
          <cell r="A630">
            <v>38521</v>
          </cell>
        </row>
        <row r="631">
          <cell r="A631">
            <v>38522</v>
          </cell>
        </row>
        <row r="632">
          <cell r="A632">
            <v>38523</v>
          </cell>
        </row>
        <row r="633">
          <cell r="A633">
            <v>38524</v>
          </cell>
        </row>
        <row r="634">
          <cell r="A634">
            <v>38525</v>
          </cell>
        </row>
        <row r="635">
          <cell r="A635">
            <v>38526</v>
          </cell>
        </row>
        <row r="636">
          <cell r="A636">
            <v>38527</v>
          </cell>
        </row>
        <row r="637">
          <cell r="A637">
            <v>38528</v>
          </cell>
        </row>
        <row r="638">
          <cell r="A638">
            <v>38529</v>
          </cell>
        </row>
        <row r="639">
          <cell r="A639">
            <v>38530</v>
          </cell>
        </row>
        <row r="640">
          <cell r="A640">
            <v>38531</v>
          </cell>
        </row>
        <row r="641">
          <cell r="A641">
            <v>38532</v>
          </cell>
        </row>
        <row r="642">
          <cell r="A642">
            <v>38533</v>
          </cell>
        </row>
        <row r="643">
          <cell r="A643">
            <v>38534</v>
          </cell>
        </row>
        <row r="644">
          <cell r="A644">
            <v>38535</v>
          </cell>
        </row>
        <row r="645">
          <cell r="A645">
            <v>38536</v>
          </cell>
        </row>
        <row r="646">
          <cell r="A646">
            <v>38537</v>
          </cell>
        </row>
        <row r="647">
          <cell r="A647">
            <v>38538</v>
          </cell>
        </row>
        <row r="648">
          <cell r="A648">
            <v>38539</v>
          </cell>
        </row>
        <row r="649">
          <cell r="A649">
            <v>38540</v>
          </cell>
        </row>
        <row r="650">
          <cell r="A650">
            <v>38541</v>
          </cell>
        </row>
        <row r="651">
          <cell r="A651">
            <v>38542</v>
          </cell>
        </row>
        <row r="652">
          <cell r="A652">
            <v>38543</v>
          </cell>
        </row>
        <row r="653">
          <cell r="A653">
            <v>38544</v>
          </cell>
        </row>
        <row r="654">
          <cell r="A654">
            <v>38545</v>
          </cell>
        </row>
        <row r="655">
          <cell r="A655">
            <v>38546</v>
          </cell>
        </row>
        <row r="656">
          <cell r="A656">
            <v>38547</v>
          </cell>
        </row>
        <row r="657">
          <cell r="A657">
            <v>38548</v>
          </cell>
        </row>
        <row r="658">
          <cell r="A658">
            <v>38549</v>
          </cell>
        </row>
        <row r="659">
          <cell r="A659">
            <v>38550</v>
          </cell>
        </row>
        <row r="660">
          <cell r="A660">
            <v>38551</v>
          </cell>
        </row>
        <row r="661">
          <cell r="A661">
            <v>38552</v>
          </cell>
        </row>
        <row r="662">
          <cell r="A662">
            <v>38553</v>
          </cell>
        </row>
        <row r="663">
          <cell r="A663">
            <v>38554</v>
          </cell>
        </row>
        <row r="664">
          <cell r="A664">
            <v>38555</v>
          </cell>
        </row>
        <row r="665">
          <cell r="A665">
            <v>38556</v>
          </cell>
        </row>
        <row r="666">
          <cell r="A666">
            <v>38557</v>
          </cell>
        </row>
        <row r="667">
          <cell r="A667">
            <v>38558</v>
          </cell>
        </row>
        <row r="668">
          <cell r="A668">
            <v>38559</v>
          </cell>
        </row>
        <row r="669">
          <cell r="A669">
            <v>38560</v>
          </cell>
        </row>
        <row r="670">
          <cell r="A670">
            <v>38561</v>
          </cell>
        </row>
        <row r="671">
          <cell r="A671">
            <v>38562</v>
          </cell>
        </row>
        <row r="672">
          <cell r="A672">
            <v>38563</v>
          </cell>
        </row>
        <row r="673">
          <cell r="A673">
            <v>38564</v>
          </cell>
        </row>
        <row r="674">
          <cell r="A674">
            <v>38565</v>
          </cell>
        </row>
        <row r="675">
          <cell r="A675">
            <v>38566</v>
          </cell>
        </row>
        <row r="676">
          <cell r="A676">
            <v>38567</v>
          </cell>
        </row>
        <row r="677">
          <cell r="A677">
            <v>38568</v>
          </cell>
        </row>
        <row r="678">
          <cell r="A678">
            <v>38569</v>
          </cell>
        </row>
        <row r="679">
          <cell r="A679">
            <v>38570</v>
          </cell>
        </row>
        <row r="680">
          <cell r="A680">
            <v>38571</v>
          </cell>
        </row>
        <row r="681">
          <cell r="A681">
            <v>38572</v>
          </cell>
        </row>
        <row r="682">
          <cell r="A682">
            <v>38573</v>
          </cell>
        </row>
        <row r="683">
          <cell r="A683">
            <v>38574</v>
          </cell>
        </row>
        <row r="684">
          <cell r="A684">
            <v>38575</v>
          </cell>
        </row>
        <row r="685">
          <cell r="A685">
            <v>38576</v>
          </cell>
        </row>
        <row r="686">
          <cell r="A686">
            <v>38577</v>
          </cell>
        </row>
        <row r="687">
          <cell r="A687">
            <v>38578</v>
          </cell>
        </row>
        <row r="688">
          <cell r="A688">
            <v>38579</v>
          </cell>
        </row>
        <row r="689">
          <cell r="A689">
            <v>38580</v>
          </cell>
        </row>
        <row r="690">
          <cell r="A690">
            <v>38581</v>
          </cell>
        </row>
        <row r="691">
          <cell r="A691">
            <v>38582</v>
          </cell>
        </row>
        <row r="692">
          <cell r="A692">
            <v>38583</v>
          </cell>
        </row>
        <row r="693">
          <cell r="A693">
            <v>38584</v>
          </cell>
        </row>
        <row r="694">
          <cell r="A694">
            <v>38585</v>
          </cell>
        </row>
        <row r="695">
          <cell r="A695">
            <v>38586</v>
          </cell>
        </row>
        <row r="696">
          <cell r="A696">
            <v>38587</v>
          </cell>
        </row>
        <row r="697">
          <cell r="A697">
            <v>38588</v>
          </cell>
        </row>
        <row r="698">
          <cell r="A698">
            <v>38589</v>
          </cell>
        </row>
        <row r="699">
          <cell r="A699">
            <v>38590</v>
          </cell>
        </row>
        <row r="700">
          <cell r="A700">
            <v>38591</v>
          </cell>
        </row>
        <row r="701">
          <cell r="A701">
            <v>38592</v>
          </cell>
        </row>
        <row r="702">
          <cell r="A702">
            <v>38593</v>
          </cell>
        </row>
        <row r="703">
          <cell r="A703">
            <v>38594</v>
          </cell>
        </row>
        <row r="704">
          <cell r="A704">
            <v>38595</v>
          </cell>
        </row>
        <row r="705">
          <cell r="A705">
            <v>38596</v>
          </cell>
        </row>
        <row r="706">
          <cell r="A706">
            <v>38597</v>
          </cell>
        </row>
        <row r="707">
          <cell r="A707">
            <v>38598</v>
          </cell>
        </row>
        <row r="708">
          <cell r="A708">
            <v>38599</v>
          </cell>
        </row>
        <row r="709">
          <cell r="A709">
            <v>38600</v>
          </cell>
        </row>
        <row r="710">
          <cell r="A710">
            <v>38601</v>
          </cell>
        </row>
        <row r="711">
          <cell r="A711">
            <v>38603</v>
          </cell>
        </row>
        <row r="712">
          <cell r="A712">
            <v>38604</v>
          </cell>
        </row>
        <row r="713">
          <cell r="A713">
            <v>38602</v>
          </cell>
        </row>
        <row r="714">
          <cell r="A714">
            <v>38605</v>
          </cell>
        </row>
        <row r="715">
          <cell r="A715">
            <v>38606</v>
          </cell>
        </row>
        <row r="716">
          <cell r="A716">
            <v>38607</v>
          </cell>
        </row>
        <row r="717">
          <cell r="A717">
            <v>38608</v>
          </cell>
        </row>
        <row r="718">
          <cell r="A718">
            <v>38609</v>
          </cell>
        </row>
        <row r="719">
          <cell r="A719">
            <v>38610</v>
          </cell>
        </row>
        <row r="720">
          <cell r="A720">
            <v>38611</v>
          </cell>
        </row>
        <row r="721">
          <cell r="A721">
            <v>38612</v>
          </cell>
        </row>
        <row r="722">
          <cell r="A722">
            <v>38613</v>
          </cell>
        </row>
        <row r="723">
          <cell r="A723">
            <v>38614</v>
          </cell>
        </row>
        <row r="724">
          <cell r="A724">
            <v>38615</v>
          </cell>
        </row>
        <row r="725">
          <cell r="A725">
            <v>38616</v>
          </cell>
        </row>
        <row r="726">
          <cell r="A726">
            <v>38617</v>
          </cell>
        </row>
        <row r="727">
          <cell r="A727">
            <v>38618</v>
          </cell>
        </row>
        <row r="728">
          <cell r="A728">
            <v>38619</v>
          </cell>
        </row>
        <row r="729">
          <cell r="A729">
            <v>38620</v>
          </cell>
        </row>
        <row r="730">
          <cell r="A730">
            <v>38621</v>
          </cell>
        </row>
        <row r="731">
          <cell r="A731">
            <v>38622</v>
          </cell>
        </row>
        <row r="732">
          <cell r="A732">
            <v>38623</v>
          </cell>
        </row>
        <row r="733">
          <cell r="A733">
            <v>38624</v>
          </cell>
        </row>
        <row r="734">
          <cell r="A734">
            <v>38625</v>
          </cell>
        </row>
        <row r="735">
          <cell r="A735">
            <v>38626</v>
          </cell>
        </row>
        <row r="736">
          <cell r="A736">
            <v>38627</v>
          </cell>
        </row>
        <row r="737">
          <cell r="A737">
            <v>38628</v>
          </cell>
        </row>
        <row r="738">
          <cell r="A738">
            <v>38629</v>
          </cell>
        </row>
        <row r="739">
          <cell r="A739">
            <v>38630</v>
          </cell>
        </row>
        <row r="740">
          <cell r="A740">
            <v>38631</v>
          </cell>
        </row>
        <row r="741">
          <cell r="A741">
            <v>38632</v>
          </cell>
        </row>
        <row r="742">
          <cell r="A742">
            <v>38633</v>
          </cell>
        </row>
        <row r="743">
          <cell r="A743">
            <v>38634</v>
          </cell>
        </row>
        <row r="744">
          <cell r="A744">
            <v>38635</v>
          </cell>
        </row>
        <row r="745">
          <cell r="A745">
            <v>38636</v>
          </cell>
        </row>
        <row r="746">
          <cell r="A746">
            <v>38637</v>
          </cell>
        </row>
        <row r="747">
          <cell r="A747">
            <v>38638</v>
          </cell>
        </row>
        <row r="748">
          <cell r="A748">
            <v>38639</v>
          </cell>
        </row>
        <row r="749">
          <cell r="A749">
            <v>38640</v>
          </cell>
        </row>
        <row r="750">
          <cell r="A750">
            <v>38641</v>
          </cell>
        </row>
        <row r="751">
          <cell r="A751">
            <v>38642</v>
          </cell>
        </row>
        <row r="752">
          <cell r="A752">
            <v>38643</v>
          </cell>
        </row>
        <row r="753">
          <cell r="A753">
            <v>38644</v>
          </cell>
        </row>
        <row r="754">
          <cell r="A754">
            <v>38645</v>
          </cell>
        </row>
        <row r="755">
          <cell r="A755">
            <v>38646</v>
          </cell>
        </row>
        <row r="756">
          <cell r="A756">
            <v>38647</v>
          </cell>
        </row>
        <row r="757">
          <cell r="A757">
            <v>38648</v>
          </cell>
        </row>
        <row r="758">
          <cell r="A758">
            <v>38649</v>
          </cell>
        </row>
        <row r="759">
          <cell r="A759">
            <v>38650</v>
          </cell>
        </row>
        <row r="760">
          <cell r="A760">
            <v>38651</v>
          </cell>
        </row>
        <row r="761">
          <cell r="A761">
            <v>38652</v>
          </cell>
        </row>
        <row r="762">
          <cell r="A762">
            <v>38653</v>
          </cell>
        </row>
        <row r="763">
          <cell r="A763">
            <v>38654</v>
          </cell>
        </row>
        <row r="764">
          <cell r="A764">
            <v>38655</v>
          </cell>
        </row>
        <row r="765">
          <cell r="A765">
            <v>38656</v>
          </cell>
        </row>
        <row r="766">
          <cell r="A766">
            <v>38657</v>
          </cell>
        </row>
        <row r="767">
          <cell r="A767">
            <v>38658</v>
          </cell>
        </row>
        <row r="768">
          <cell r="A768">
            <v>38659</v>
          </cell>
        </row>
        <row r="769">
          <cell r="A769">
            <v>38660</v>
          </cell>
        </row>
        <row r="770">
          <cell r="A770">
            <v>38661</v>
          </cell>
        </row>
        <row r="771">
          <cell r="A771">
            <v>38662</v>
          </cell>
        </row>
        <row r="772">
          <cell r="A772">
            <v>38663</v>
          </cell>
        </row>
        <row r="773">
          <cell r="A773">
            <v>38664</v>
          </cell>
        </row>
        <row r="774">
          <cell r="A774">
            <v>38665</v>
          </cell>
        </row>
        <row r="775">
          <cell r="A775">
            <v>38666</v>
          </cell>
        </row>
        <row r="776">
          <cell r="A776">
            <v>38667</v>
          </cell>
        </row>
        <row r="777">
          <cell r="A777">
            <v>38668</v>
          </cell>
        </row>
        <row r="778">
          <cell r="A778">
            <v>38669</v>
          </cell>
        </row>
        <row r="779">
          <cell r="A779">
            <v>38670</v>
          </cell>
        </row>
        <row r="780">
          <cell r="A780">
            <v>38671</v>
          </cell>
        </row>
        <row r="781">
          <cell r="A781">
            <v>38672</v>
          </cell>
        </row>
        <row r="782">
          <cell r="A782">
            <v>38673</v>
          </cell>
        </row>
        <row r="783">
          <cell r="A783">
            <v>38674</v>
          </cell>
        </row>
        <row r="784">
          <cell r="A784">
            <v>38675</v>
          </cell>
        </row>
        <row r="785">
          <cell r="A785">
            <v>38676</v>
          </cell>
        </row>
        <row r="786">
          <cell r="A786">
            <v>38677</v>
          </cell>
        </row>
        <row r="787">
          <cell r="A787">
            <v>38678</v>
          </cell>
        </row>
        <row r="788">
          <cell r="A788">
            <v>38679</v>
          </cell>
        </row>
        <row r="789">
          <cell r="A789">
            <v>38680</v>
          </cell>
        </row>
        <row r="790">
          <cell r="A790">
            <v>38681</v>
          </cell>
        </row>
        <row r="791">
          <cell r="A791">
            <v>38682</v>
          </cell>
        </row>
        <row r="792">
          <cell r="A792">
            <v>38683</v>
          </cell>
        </row>
        <row r="793">
          <cell r="A793">
            <v>38684</v>
          </cell>
        </row>
        <row r="794">
          <cell r="A794">
            <v>38685</v>
          </cell>
        </row>
        <row r="795">
          <cell r="A795">
            <v>38686</v>
          </cell>
        </row>
        <row r="796">
          <cell r="A796">
            <v>38687</v>
          </cell>
        </row>
        <row r="797">
          <cell r="A797">
            <v>38688</v>
          </cell>
        </row>
        <row r="798">
          <cell r="A798">
            <v>38689</v>
          </cell>
        </row>
        <row r="799">
          <cell r="A799">
            <v>38690</v>
          </cell>
        </row>
        <row r="800">
          <cell r="A800">
            <v>38691</v>
          </cell>
        </row>
        <row r="801">
          <cell r="A801">
            <v>38692</v>
          </cell>
        </row>
        <row r="802">
          <cell r="A802">
            <v>38693</v>
          </cell>
        </row>
        <row r="803">
          <cell r="A803">
            <v>38694</v>
          </cell>
        </row>
        <row r="804">
          <cell r="A804">
            <v>38695</v>
          </cell>
        </row>
        <row r="805">
          <cell r="A805">
            <v>38696</v>
          </cell>
        </row>
        <row r="806">
          <cell r="A806">
            <v>38697</v>
          </cell>
        </row>
        <row r="807">
          <cell r="A807">
            <v>38698</v>
          </cell>
        </row>
        <row r="808">
          <cell r="A808">
            <v>38699</v>
          </cell>
        </row>
        <row r="809">
          <cell r="A809">
            <v>38700</v>
          </cell>
        </row>
        <row r="810">
          <cell r="A810">
            <v>38701</v>
          </cell>
        </row>
        <row r="811">
          <cell r="A811">
            <v>38702</v>
          </cell>
        </row>
        <row r="812">
          <cell r="A812">
            <v>38703</v>
          </cell>
        </row>
        <row r="813">
          <cell r="A813">
            <v>38704</v>
          </cell>
        </row>
        <row r="814">
          <cell r="A814">
            <v>38705</v>
          </cell>
        </row>
        <row r="815">
          <cell r="A815">
            <v>38706</v>
          </cell>
        </row>
        <row r="816">
          <cell r="A816">
            <v>38707</v>
          </cell>
        </row>
        <row r="817">
          <cell r="A817">
            <v>38708</v>
          </cell>
        </row>
        <row r="818">
          <cell r="A818">
            <v>38709</v>
          </cell>
        </row>
        <row r="819">
          <cell r="A819">
            <v>38710</v>
          </cell>
        </row>
        <row r="820">
          <cell r="A820">
            <v>38711</v>
          </cell>
        </row>
        <row r="821">
          <cell r="A821">
            <v>38712</v>
          </cell>
        </row>
        <row r="822">
          <cell r="A822">
            <v>38713</v>
          </cell>
        </row>
        <row r="823">
          <cell r="A823">
            <v>38714</v>
          </cell>
        </row>
        <row r="824">
          <cell r="A824">
            <v>38715</v>
          </cell>
        </row>
        <row r="825">
          <cell r="A825">
            <v>38716</v>
          </cell>
        </row>
        <row r="826">
          <cell r="A826">
            <v>38717</v>
          </cell>
        </row>
        <row r="827">
          <cell r="A827">
            <v>38718</v>
          </cell>
        </row>
        <row r="828">
          <cell r="A828">
            <v>38719</v>
          </cell>
        </row>
        <row r="829">
          <cell r="A829">
            <v>38720</v>
          </cell>
        </row>
        <row r="830">
          <cell r="A830">
            <v>38721</v>
          </cell>
        </row>
        <row r="831">
          <cell r="A831">
            <v>38722</v>
          </cell>
        </row>
        <row r="832">
          <cell r="A832">
            <v>38723</v>
          </cell>
        </row>
        <row r="833">
          <cell r="A833">
            <v>38724</v>
          </cell>
        </row>
        <row r="834">
          <cell r="A834">
            <v>38725</v>
          </cell>
        </row>
        <row r="835">
          <cell r="A835">
            <v>38726</v>
          </cell>
        </row>
        <row r="836">
          <cell r="A836">
            <v>38727</v>
          </cell>
        </row>
        <row r="837">
          <cell r="A837">
            <v>38728</v>
          </cell>
        </row>
        <row r="838">
          <cell r="A838">
            <v>38729</v>
          </cell>
        </row>
        <row r="839">
          <cell r="A839">
            <v>38730</v>
          </cell>
        </row>
        <row r="840">
          <cell r="A840">
            <v>38731</v>
          </cell>
        </row>
        <row r="841">
          <cell r="A841">
            <v>38732</v>
          </cell>
        </row>
        <row r="842">
          <cell r="A842">
            <v>38733</v>
          </cell>
        </row>
        <row r="843">
          <cell r="A843">
            <v>38734</v>
          </cell>
        </row>
        <row r="844">
          <cell r="A844">
            <v>38735</v>
          </cell>
        </row>
        <row r="845">
          <cell r="A845">
            <v>38736</v>
          </cell>
        </row>
        <row r="846">
          <cell r="A846">
            <v>38737</v>
          </cell>
        </row>
        <row r="847">
          <cell r="A847">
            <v>38738</v>
          </cell>
        </row>
        <row r="848">
          <cell r="A848">
            <v>38739</v>
          </cell>
        </row>
        <row r="849">
          <cell r="A849">
            <v>38740</v>
          </cell>
        </row>
        <row r="850">
          <cell r="A850">
            <v>38741</v>
          </cell>
        </row>
        <row r="851">
          <cell r="A851">
            <v>38742</v>
          </cell>
        </row>
        <row r="852">
          <cell r="A852">
            <v>38743</v>
          </cell>
        </row>
        <row r="853">
          <cell r="A853">
            <v>38744</v>
          </cell>
        </row>
        <row r="854">
          <cell r="A854">
            <v>38745</v>
          </cell>
        </row>
        <row r="855">
          <cell r="A855">
            <v>38746</v>
          </cell>
        </row>
        <row r="856">
          <cell r="A856">
            <v>38747</v>
          </cell>
        </row>
        <row r="857">
          <cell r="A857">
            <v>38748</v>
          </cell>
        </row>
        <row r="858">
          <cell r="A858">
            <v>38749</v>
          </cell>
        </row>
        <row r="859">
          <cell r="A859">
            <v>38750</v>
          </cell>
        </row>
        <row r="860">
          <cell r="A860">
            <v>38751</v>
          </cell>
        </row>
        <row r="861">
          <cell r="A861">
            <v>38752</v>
          </cell>
        </row>
        <row r="862">
          <cell r="A862">
            <v>38753</v>
          </cell>
        </row>
        <row r="863">
          <cell r="A863">
            <v>38754</v>
          </cell>
        </row>
        <row r="864">
          <cell r="A864">
            <v>38755</v>
          </cell>
        </row>
        <row r="865">
          <cell r="A865">
            <v>38756</v>
          </cell>
        </row>
        <row r="866">
          <cell r="A866">
            <v>38757</v>
          </cell>
        </row>
        <row r="867">
          <cell r="A867">
            <v>38758</v>
          </cell>
        </row>
        <row r="868">
          <cell r="A868">
            <v>38759</v>
          </cell>
        </row>
        <row r="869">
          <cell r="A869">
            <v>38760</v>
          </cell>
        </row>
        <row r="870">
          <cell r="A870">
            <v>38761</v>
          </cell>
        </row>
        <row r="871">
          <cell r="A871">
            <v>38762</v>
          </cell>
        </row>
        <row r="872">
          <cell r="A872">
            <v>38763</v>
          </cell>
        </row>
        <row r="873">
          <cell r="A873">
            <v>38764</v>
          </cell>
        </row>
        <row r="874">
          <cell r="A874">
            <v>38765</v>
          </cell>
        </row>
        <row r="875">
          <cell r="A875">
            <v>38766</v>
          </cell>
        </row>
        <row r="876">
          <cell r="A876">
            <v>38767</v>
          </cell>
        </row>
        <row r="877">
          <cell r="A877">
            <v>38768</v>
          </cell>
        </row>
        <row r="878">
          <cell r="A878">
            <v>38769</v>
          </cell>
        </row>
        <row r="879">
          <cell r="A879">
            <v>38770</v>
          </cell>
        </row>
        <row r="880">
          <cell r="A880">
            <v>38771</v>
          </cell>
        </row>
        <row r="881">
          <cell r="A881">
            <v>38772</v>
          </cell>
        </row>
        <row r="882">
          <cell r="A882">
            <v>38773</v>
          </cell>
        </row>
        <row r="883">
          <cell r="A883">
            <v>38774</v>
          </cell>
        </row>
        <row r="884">
          <cell r="A884">
            <v>38775</v>
          </cell>
        </row>
        <row r="885">
          <cell r="A885">
            <v>38776</v>
          </cell>
        </row>
        <row r="886">
          <cell r="A886">
            <v>38777</v>
          </cell>
        </row>
        <row r="887">
          <cell r="A887">
            <v>38778</v>
          </cell>
        </row>
        <row r="888">
          <cell r="A888">
            <v>38779</v>
          </cell>
        </row>
        <row r="889">
          <cell r="A889">
            <v>38780</v>
          </cell>
        </row>
        <row r="890">
          <cell r="A890">
            <v>38781</v>
          </cell>
        </row>
        <row r="891">
          <cell r="A891">
            <v>38782</v>
          </cell>
        </row>
        <row r="892">
          <cell r="A892">
            <v>38783</v>
          </cell>
        </row>
        <row r="893">
          <cell r="A893">
            <v>38784</v>
          </cell>
        </row>
        <row r="894">
          <cell r="A894">
            <v>38785</v>
          </cell>
        </row>
        <row r="895">
          <cell r="A895">
            <v>38786</v>
          </cell>
        </row>
        <row r="896">
          <cell r="A896">
            <v>38787</v>
          </cell>
        </row>
        <row r="897">
          <cell r="A897">
            <v>38788</v>
          </cell>
        </row>
        <row r="898">
          <cell r="A898">
            <v>38789</v>
          </cell>
        </row>
        <row r="899">
          <cell r="A899">
            <v>38790</v>
          </cell>
        </row>
        <row r="900">
          <cell r="A900">
            <v>38791</v>
          </cell>
        </row>
        <row r="901">
          <cell r="A901">
            <v>38792</v>
          </cell>
        </row>
        <row r="902">
          <cell r="A902">
            <v>38793</v>
          </cell>
        </row>
        <row r="903">
          <cell r="A903">
            <v>38794</v>
          </cell>
        </row>
        <row r="904">
          <cell r="A904">
            <v>38795</v>
          </cell>
        </row>
        <row r="905">
          <cell r="A905">
            <v>38796</v>
          </cell>
        </row>
        <row r="906">
          <cell r="A906">
            <v>38797</v>
          </cell>
        </row>
        <row r="907">
          <cell r="A907">
            <v>38798</v>
          </cell>
        </row>
        <row r="908">
          <cell r="A908">
            <v>38799</v>
          </cell>
        </row>
        <row r="909">
          <cell r="A909">
            <v>38800</v>
          </cell>
        </row>
        <row r="910">
          <cell r="A910">
            <v>38801</v>
          </cell>
        </row>
        <row r="911">
          <cell r="A911">
            <v>38802</v>
          </cell>
        </row>
        <row r="912">
          <cell r="A912">
            <v>38803</v>
          </cell>
        </row>
        <row r="913">
          <cell r="A913">
            <v>38804</v>
          </cell>
        </row>
        <row r="914">
          <cell r="A914">
            <v>38805</v>
          </cell>
        </row>
        <row r="915">
          <cell r="A915">
            <v>38806</v>
          </cell>
        </row>
        <row r="916">
          <cell r="A916">
            <v>38807</v>
          </cell>
        </row>
        <row r="917">
          <cell r="A917">
            <v>38808</v>
          </cell>
        </row>
        <row r="918">
          <cell r="A918">
            <v>38809</v>
          </cell>
        </row>
        <row r="919">
          <cell r="A919">
            <v>38810</v>
          </cell>
        </row>
        <row r="920">
          <cell r="A920">
            <v>38811</v>
          </cell>
        </row>
        <row r="921">
          <cell r="A921">
            <v>38812</v>
          </cell>
        </row>
        <row r="922">
          <cell r="A922">
            <v>38813</v>
          </cell>
        </row>
        <row r="923">
          <cell r="A923">
            <v>38814</v>
          </cell>
        </row>
        <row r="924">
          <cell r="A924">
            <v>38815</v>
          </cell>
        </row>
        <row r="925">
          <cell r="A925">
            <v>38816</v>
          </cell>
        </row>
        <row r="926">
          <cell r="A926">
            <v>38817</v>
          </cell>
        </row>
        <row r="927">
          <cell r="A927">
            <v>38818</v>
          </cell>
        </row>
        <row r="928">
          <cell r="A928">
            <v>38819</v>
          </cell>
        </row>
        <row r="929">
          <cell r="A929">
            <v>38820</v>
          </cell>
        </row>
        <row r="930">
          <cell r="A930">
            <v>38821</v>
          </cell>
        </row>
        <row r="931">
          <cell r="A931">
            <v>38822</v>
          </cell>
        </row>
        <row r="932">
          <cell r="A932">
            <v>38823</v>
          </cell>
        </row>
        <row r="933">
          <cell r="A933">
            <v>38824</v>
          </cell>
        </row>
        <row r="934">
          <cell r="A934">
            <v>38825</v>
          </cell>
        </row>
        <row r="935">
          <cell r="A935">
            <v>38826</v>
          </cell>
        </row>
        <row r="936">
          <cell r="A936">
            <v>38827</v>
          </cell>
        </row>
        <row r="937">
          <cell r="A937">
            <v>38828</v>
          </cell>
        </row>
        <row r="938">
          <cell r="A938">
            <v>38829</v>
          </cell>
        </row>
        <row r="939">
          <cell r="A939">
            <v>38830</v>
          </cell>
        </row>
        <row r="940">
          <cell r="A940">
            <v>38831</v>
          </cell>
        </row>
        <row r="941">
          <cell r="A941">
            <v>38832</v>
          </cell>
        </row>
        <row r="942">
          <cell r="A942">
            <v>38833</v>
          </cell>
        </row>
        <row r="943">
          <cell r="A943">
            <v>38834</v>
          </cell>
        </row>
        <row r="944">
          <cell r="A944">
            <v>38835</v>
          </cell>
        </row>
        <row r="945">
          <cell r="A945">
            <v>38836</v>
          </cell>
        </row>
        <row r="946">
          <cell r="A946">
            <v>38837</v>
          </cell>
        </row>
        <row r="947">
          <cell r="A947">
            <v>38838</v>
          </cell>
        </row>
        <row r="948">
          <cell r="A948">
            <v>38839</v>
          </cell>
        </row>
        <row r="949">
          <cell r="A949">
            <v>38840</v>
          </cell>
        </row>
        <row r="950">
          <cell r="A950">
            <v>38841</v>
          </cell>
        </row>
        <row r="951">
          <cell r="A951">
            <v>38842</v>
          </cell>
        </row>
        <row r="952">
          <cell r="A952">
            <v>38843</v>
          </cell>
        </row>
        <row r="953">
          <cell r="A953">
            <v>38844</v>
          </cell>
        </row>
        <row r="954">
          <cell r="A954">
            <v>38845</v>
          </cell>
        </row>
        <row r="955">
          <cell r="A955">
            <v>38846</v>
          </cell>
        </row>
        <row r="956">
          <cell r="A956">
            <v>38847</v>
          </cell>
        </row>
        <row r="957">
          <cell r="A957">
            <v>38848</v>
          </cell>
        </row>
        <row r="958">
          <cell r="A958">
            <v>38849</v>
          </cell>
        </row>
        <row r="959">
          <cell r="A959">
            <v>38850</v>
          </cell>
        </row>
        <row r="960">
          <cell r="A960">
            <v>38851</v>
          </cell>
        </row>
        <row r="961">
          <cell r="A961">
            <v>38852</v>
          </cell>
        </row>
        <row r="962">
          <cell r="A962">
            <v>38853</v>
          </cell>
        </row>
        <row r="963">
          <cell r="A963">
            <v>38854</v>
          </cell>
        </row>
        <row r="964">
          <cell r="A964">
            <v>38855</v>
          </cell>
        </row>
        <row r="965">
          <cell r="A965">
            <v>38856</v>
          </cell>
        </row>
        <row r="966">
          <cell r="A966">
            <v>38857</v>
          </cell>
        </row>
        <row r="967">
          <cell r="A967">
            <v>38858</v>
          </cell>
        </row>
        <row r="968">
          <cell r="A968">
            <v>38859</v>
          </cell>
        </row>
        <row r="969">
          <cell r="A969">
            <v>38860</v>
          </cell>
        </row>
        <row r="970">
          <cell r="A970">
            <v>38861</v>
          </cell>
        </row>
        <row r="971">
          <cell r="A971">
            <v>38862</v>
          </cell>
        </row>
        <row r="972">
          <cell r="A972">
            <v>38863</v>
          </cell>
        </row>
        <row r="973">
          <cell r="A973">
            <v>38864</v>
          </cell>
        </row>
        <row r="974">
          <cell r="A974">
            <v>38865</v>
          </cell>
        </row>
        <row r="975">
          <cell r="A975">
            <v>38866</v>
          </cell>
        </row>
        <row r="976">
          <cell r="A976">
            <v>38867</v>
          </cell>
        </row>
        <row r="977">
          <cell r="A977">
            <v>38868</v>
          </cell>
        </row>
        <row r="978">
          <cell r="A978">
            <v>38869</v>
          </cell>
        </row>
        <row r="979">
          <cell r="A979">
            <v>38870</v>
          </cell>
        </row>
        <row r="980">
          <cell r="A980">
            <v>38871</v>
          </cell>
        </row>
        <row r="981">
          <cell r="A981">
            <v>38872</v>
          </cell>
        </row>
        <row r="982">
          <cell r="A982">
            <v>38873</v>
          </cell>
        </row>
        <row r="983">
          <cell r="A983">
            <v>38874</v>
          </cell>
        </row>
        <row r="984">
          <cell r="A984">
            <v>38875</v>
          </cell>
        </row>
        <row r="985">
          <cell r="A985">
            <v>38876</v>
          </cell>
        </row>
        <row r="986">
          <cell r="A986">
            <v>38877</v>
          </cell>
        </row>
        <row r="987">
          <cell r="A987">
            <v>38878</v>
          </cell>
        </row>
        <row r="988">
          <cell r="A988">
            <v>38879</v>
          </cell>
        </row>
        <row r="989">
          <cell r="A989">
            <v>38880</v>
          </cell>
        </row>
        <row r="990">
          <cell r="A990">
            <v>38881</v>
          </cell>
        </row>
        <row r="991">
          <cell r="A991">
            <v>38882</v>
          </cell>
        </row>
        <row r="992">
          <cell r="A992">
            <v>38883</v>
          </cell>
        </row>
        <row r="993">
          <cell r="A993">
            <v>38884</v>
          </cell>
        </row>
        <row r="994">
          <cell r="A994">
            <v>38885</v>
          </cell>
        </row>
        <row r="995">
          <cell r="A995">
            <v>38886</v>
          </cell>
        </row>
        <row r="996">
          <cell r="A996">
            <v>38887</v>
          </cell>
        </row>
        <row r="997">
          <cell r="A997">
            <v>38888</v>
          </cell>
        </row>
        <row r="998">
          <cell r="A998">
            <v>38889</v>
          </cell>
        </row>
        <row r="999">
          <cell r="A999">
            <v>38890</v>
          </cell>
        </row>
        <row r="1000">
          <cell r="A1000">
            <v>38891</v>
          </cell>
        </row>
        <row r="1001">
          <cell r="A1001">
            <v>38892</v>
          </cell>
        </row>
        <row r="1002">
          <cell r="A1002">
            <v>38893</v>
          </cell>
        </row>
        <row r="1003">
          <cell r="A1003">
            <v>38894</v>
          </cell>
        </row>
        <row r="1004">
          <cell r="A1004">
            <v>38895</v>
          </cell>
        </row>
        <row r="1005">
          <cell r="A1005">
            <v>38896</v>
          </cell>
        </row>
        <row r="1006">
          <cell r="A1006">
            <v>38897</v>
          </cell>
        </row>
        <row r="1007">
          <cell r="A1007">
            <v>38898</v>
          </cell>
        </row>
        <row r="1008">
          <cell r="A1008">
            <v>38899</v>
          </cell>
        </row>
        <row r="1009">
          <cell r="A1009">
            <v>38900</v>
          </cell>
        </row>
        <row r="1010">
          <cell r="A1010">
            <v>38901</v>
          </cell>
        </row>
        <row r="1011">
          <cell r="A1011">
            <v>38902</v>
          </cell>
        </row>
        <row r="1012">
          <cell r="A1012">
            <v>38903</v>
          </cell>
        </row>
        <row r="1013">
          <cell r="A1013">
            <v>38904</v>
          </cell>
        </row>
        <row r="1014">
          <cell r="A1014">
            <v>38905</v>
          </cell>
        </row>
        <row r="1015">
          <cell r="A1015">
            <v>38906</v>
          </cell>
        </row>
        <row r="1016">
          <cell r="A1016">
            <v>38907</v>
          </cell>
        </row>
        <row r="1017">
          <cell r="A1017">
            <v>38908</v>
          </cell>
        </row>
        <row r="1018">
          <cell r="A1018">
            <v>38909</v>
          </cell>
        </row>
        <row r="1019">
          <cell r="A1019">
            <v>38910</v>
          </cell>
        </row>
        <row r="1020">
          <cell r="A1020">
            <v>38911</v>
          </cell>
        </row>
        <row r="1021">
          <cell r="A1021">
            <v>38912</v>
          </cell>
        </row>
        <row r="1022">
          <cell r="A1022">
            <v>38913</v>
          </cell>
        </row>
        <row r="1023">
          <cell r="A1023">
            <v>38914</v>
          </cell>
        </row>
        <row r="1024">
          <cell r="A1024">
            <v>38915</v>
          </cell>
        </row>
        <row r="1025">
          <cell r="A1025">
            <v>38916</v>
          </cell>
        </row>
        <row r="1026">
          <cell r="A1026">
            <v>38917</v>
          </cell>
        </row>
        <row r="1027">
          <cell r="A1027">
            <v>38918</v>
          </cell>
        </row>
        <row r="1028">
          <cell r="A1028">
            <v>38919</v>
          </cell>
        </row>
        <row r="1029">
          <cell r="A1029">
            <v>38920</v>
          </cell>
        </row>
        <row r="1030">
          <cell r="A1030">
            <v>38921</v>
          </cell>
        </row>
        <row r="1031">
          <cell r="A1031">
            <v>38922</v>
          </cell>
        </row>
        <row r="1032">
          <cell r="A1032">
            <v>38923</v>
          </cell>
        </row>
        <row r="1033">
          <cell r="A1033">
            <v>38924</v>
          </cell>
        </row>
        <row r="1034">
          <cell r="A1034">
            <v>38925</v>
          </cell>
        </row>
        <row r="1035">
          <cell r="A1035">
            <v>38926</v>
          </cell>
        </row>
        <row r="1036">
          <cell r="A1036">
            <v>38927</v>
          </cell>
        </row>
        <row r="1037">
          <cell r="A1037">
            <v>38928</v>
          </cell>
        </row>
        <row r="1038">
          <cell r="A1038">
            <v>38929</v>
          </cell>
        </row>
        <row r="1039">
          <cell r="A1039">
            <v>38930</v>
          </cell>
        </row>
        <row r="1040">
          <cell r="A1040">
            <v>38931</v>
          </cell>
        </row>
        <row r="1041">
          <cell r="A1041">
            <v>38932</v>
          </cell>
        </row>
        <row r="1042">
          <cell r="A1042">
            <v>38933</v>
          </cell>
        </row>
        <row r="1043">
          <cell r="A1043">
            <v>38934</v>
          </cell>
        </row>
        <row r="1044">
          <cell r="A1044">
            <v>38935</v>
          </cell>
        </row>
        <row r="1045">
          <cell r="A1045">
            <v>38936</v>
          </cell>
        </row>
        <row r="1046">
          <cell r="A1046">
            <v>38937</v>
          </cell>
        </row>
        <row r="1047">
          <cell r="A1047">
            <v>38938</v>
          </cell>
        </row>
        <row r="1048">
          <cell r="A1048">
            <v>38939</v>
          </cell>
        </row>
        <row r="1049">
          <cell r="A1049">
            <v>38940</v>
          </cell>
        </row>
        <row r="1050">
          <cell r="A1050">
            <v>38941</v>
          </cell>
        </row>
        <row r="1051">
          <cell r="A1051">
            <v>38942</v>
          </cell>
        </row>
        <row r="1052">
          <cell r="A1052">
            <v>38943</v>
          </cell>
        </row>
        <row r="1053">
          <cell r="A1053">
            <v>38944</v>
          </cell>
        </row>
        <row r="1054">
          <cell r="A1054">
            <v>38945</v>
          </cell>
        </row>
        <row r="1055">
          <cell r="A1055">
            <v>38946</v>
          </cell>
        </row>
        <row r="1056">
          <cell r="A1056">
            <v>38947</v>
          </cell>
        </row>
        <row r="1057">
          <cell r="A1057">
            <v>38948</v>
          </cell>
        </row>
        <row r="1058">
          <cell r="A1058">
            <v>38949</v>
          </cell>
        </row>
        <row r="1059">
          <cell r="A1059">
            <v>38950</v>
          </cell>
        </row>
        <row r="1060">
          <cell r="A1060">
            <v>38951</v>
          </cell>
        </row>
        <row r="1061">
          <cell r="A1061">
            <v>38952</v>
          </cell>
        </row>
        <row r="1062">
          <cell r="A1062">
            <v>38953</v>
          </cell>
        </row>
        <row r="1063">
          <cell r="A1063">
            <v>38954</v>
          </cell>
        </row>
        <row r="1064">
          <cell r="A1064">
            <v>38955</v>
          </cell>
        </row>
        <row r="1065">
          <cell r="A1065">
            <v>38956</v>
          </cell>
        </row>
        <row r="1066">
          <cell r="A1066">
            <v>38957</v>
          </cell>
        </row>
        <row r="1067">
          <cell r="A1067">
            <v>38958</v>
          </cell>
        </row>
        <row r="1068">
          <cell r="A1068">
            <v>38959</v>
          </cell>
        </row>
        <row r="1069">
          <cell r="A1069">
            <v>38960</v>
          </cell>
        </row>
        <row r="1070">
          <cell r="A1070">
            <v>38961</v>
          </cell>
        </row>
        <row r="1071">
          <cell r="A1071">
            <v>38962</v>
          </cell>
        </row>
        <row r="1072">
          <cell r="A1072">
            <v>38963</v>
          </cell>
        </row>
        <row r="1073">
          <cell r="A1073">
            <v>38964</v>
          </cell>
        </row>
        <row r="1074">
          <cell r="A1074">
            <v>38965</v>
          </cell>
        </row>
        <row r="1075">
          <cell r="A1075">
            <v>38966</v>
          </cell>
        </row>
        <row r="1076">
          <cell r="A1076">
            <v>38967</v>
          </cell>
        </row>
        <row r="1077">
          <cell r="A1077">
            <v>38968</v>
          </cell>
        </row>
        <row r="1078">
          <cell r="A1078">
            <v>38969</v>
          </cell>
        </row>
        <row r="1079">
          <cell r="A1079">
            <v>38970</v>
          </cell>
        </row>
        <row r="1080">
          <cell r="A1080">
            <v>38971</v>
          </cell>
        </row>
        <row r="1081">
          <cell r="A1081">
            <v>38972</v>
          </cell>
        </row>
        <row r="1082">
          <cell r="A1082">
            <v>38973</v>
          </cell>
        </row>
        <row r="1083">
          <cell r="A1083">
            <v>38974</v>
          </cell>
        </row>
        <row r="1084">
          <cell r="A1084">
            <v>38975</v>
          </cell>
        </row>
        <row r="1085">
          <cell r="A1085">
            <v>38976</v>
          </cell>
        </row>
        <row r="1086">
          <cell r="A1086">
            <v>38977</v>
          </cell>
        </row>
        <row r="1087">
          <cell r="A1087">
            <v>38978</v>
          </cell>
        </row>
        <row r="1088">
          <cell r="A1088">
            <v>38979</v>
          </cell>
        </row>
        <row r="1089">
          <cell r="A1089">
            <v>38980</v>
          </cell>
        </row>
        <row r="1090">
          <cell r="A1090">
            <v>38981</v>
          </cell>
        </row>
        <row r="1091">
          <cell r="A1091">
            <v>38982</v>
          </cell>
        </row>
        <row r="1092">
          <cell r="A1092">
            <v>38983</v>
          </cell>
        </row>
        <row r="1093">
          <cell r="A1093">
            <v>38984</v>
          </cell>
        </row>
        <row r="1094">
          <cell r="A1094">
            <v>38985</v>
          </cell>
        </row>
        <row r="1095">
          <cell r="A1095">
            <v>38986</v>
          </cell>
        </row>
        <row r="1096">
          <cell r="A1096">
            <v>38987</v>
          </cell>
        </row>
        <row r="1097">
          <cell r="A1097">
            <v>38988</v>
          </cell>
        </row>
        <row r="1098">
          <cell r="A1098">
            <v>38989</v>
          </cell>
        </row>
        <row r="1099">
          <cell r="A1099">
            <v>38990</v>
          </cell>
        </row>
        <row r="1100">
          <cell r="A1100">
            <v>38991</v>
          </cell>
        </row>
        <row r="1101">
          <cell r="A1101">
            <v>38992</v>
          </cell>
        </row>
        <row r="1102">
          <cell r="A1102">
            <v>38993</v>
          </cell>
        </row>
        <row r="1103">
          <cell r="A1103">
            <v>38994</v>
          </cell>
        </row>
        <row r="1104">
          <cell r="A1104">
            <v>38995</v>
          </cell>
        </row>
        <row r="1105">
          <cell r="A1105">
            <v>38996</v>
          </cell>
        </row>
        <row r="1106">
          <cell r="A1106">
            <v>38997</v>
          </cell>
        </row>
        <row r="1107">
          <cell r="A1107">
            <v>38998</v>
          </cell>
        </row>
        <row r="1108">
          <cell r="A1108">
            <v>38999</v>
          </cell>
        </row>
        <row r="1109">
          <cell r="A1109">
            <v>39000</v>
          </cell>
        </row>
        <row r="1110">
          <cell r="A1110">
            <v>39001</v>
          </cell>
        </row>
        <row r="1111">
          <cell r="A1111">
            <v>39002</v>
          </cell>
        </row>
        <row r="1112">
          <cell r="A1112">
            <v>39003</v>
          </cell>
        </row>
        <row r="1113">
          <cell r="A1113">
            <v>39004</v>
          </cell>
        </row>
        <row r="1114">
          <cell r="A1114">
            <v>39005</v>
          </cell>
        </row>
        <row r="1115">
          <cell r="A1115">
            <v>39006</v>
          </cell>
        </row>
        <row r="1116">
          <cell r="A1116">
            <v>39007</v>
          </cell>
        </row>
        <row r="1117">
          <cell r="A1117">
            <v>39008</v>
          </cell>
        </row>
        <row r="1118">
          <cell r="A1118">
            <v>39009</v>
          </cell>
        </row>
        <row r="1119">
          <cell r="A1119">
            <v>39010</v>
          </cell>
        </row>
        <row r="1120">
          <cell r="A1120">
            <v>39011</v>
          </cell>
        </row>
        <row r="1121">
          <cell r="A1121">
            <v>39012</v>
          </cell>
        </row>
        <row r="1122">
          <cell r="A1122">
            <v>39013</v>
          </cell>
        </row>
        <row r="1123">
          <cell r="A1123">
            <v>39014</v>
          </cell>
        </row>
        <row r="1124">
          <cell r="A1124">
            <v>39015</v>
          </cell>
        </row>
        <row r="1125">
          <cell r="A1125">
            <v>39016</v>
          </cell>
        </row>
        <row r="1126">
          <cell r="A1126">
            <v>39017</v>
          </cell>
        </row>
        <row r="1127">
          <cell r="A1127">
            <v>39018</v>
          </cell>
        </row>
        <row r="1128">
          <cell r="A1128">
            <v>39019</v>
          </cell>
        </row>
        <row r="1129">
          <cell r="A1129">
            <v>39020</v>
          </cell>
        </row>
        <row r="1130">
          <cell r="A1130">
            <v>39021</v>
          </cell>
        </row>
        <row r="1131">
          <cell r="A1131">
            <v>39022</v>
          </cell>
        </row>
        <row r="1132">
          <cell r="A1132">
            <v>39023</v>
          </cell>
        </row>
        <row r="1133">
          <cell r="A1133">
            <v>39024</v>
          </cell>
        </row>
        <row r="1134">
          <cell r="A1134">
            <v>39025</v>
          </cell>
        </row>
        <row r="1135">
          <cell r="A1135">
            <v>39026</v>
          </cell>
        </row>
        <row r="1136">
          <cell r="A1136">
            <v>39027</v>
          </cell>
        </row>
        <row r="1137">
          <cell r="A1137">
            <v>39028</v>
          </cell>
        </row>
        <row r="1138">
          <cell r="A1138">
            <v>39029</v>
          </cell>
        </row>
        <row r="1139">
          <cell r="A1139">
            <v>39030</v>
          </cell>
        </row>
        <row r="1140">
          <cell r="A1140">
            <v>39031</v>
          </cell>
        </row>
        <row r="1141">
          <cell r="A1141">
            <v>39032</v>
          </cell>
        </row>
        <row r="1142">
          <cell r="A1142">
            <v>39033</v>
          </cell>
        </row>
        <row r="1143">
          <cell r="A1143">
            <v>39034</v>
          </cell>
        </row>
        <row r="1144">
          <cell r="A1144">
            <v>39035</v>
          </cell>
        </row>
        <row r="1145">
          <cell r="A1145">
            <v>39036</v>
          </cell>
        </row>
        <row r="1146">
          <cell r="A1146">
            <v>39037</v>
          </cell>
        </row>
        <row r="1147">
          <cell r="A1147">
            <v>39038</v>
          </cell>
        </row>
        <row r="1148">
          <cell r="A1148">
            <v>39039</v>
          </cell>
        </row>
        <row r="1149">
          <cell r="A1149">
            <v>39040</v>
          </cell>
        </row>
        <row r="1150">
          <cell r="A1150">
            <v>39041</v>
          </cell>
        </row>
        <row r="1151">
          <cell r="A1151">
            <v>39042</v>
          </cell>
        </row>
        <row r="1152">
          <cell r="A1152">
            <v>39043</v>
          </cell>
        </row>
        <row r="1153">
          <cell r="A1153">
            <v>39044</v>
          </cell>
        </row>
        <row r="1154">
          <cell r="A1154">
            <v>39045</v>
          </cell>
        </row>
        <row r="1155">
          <cell r="A1155">
            <v>39046</v>
          </cell>
        </row>
        <row r="1156">
          <cell r="A1156">
            <v>39047</v>
          </cell>
        </row>
        <row r="1157">
          <cell r="A1157">
            <v>39048</v>
          </cell>
        </row>
        <row r="1158">
          <cell r="A1158">
            <v>39049</v>
          </cell>
        </row>
        <row r="1159">
          <cell r="A1159">
            <v>39050</v>
          </cell>
        </row>
        <row r="1160">
          <cell r="A1160">
            <v>39051</v>
          </cell>
        </row>
        <row r="1161">
          <cell r="A1161">
            <v>39052</v>
          </cell>
        </row>
        <row r="1162">
          <cell r="A1162">
            <v>39053</v>
          </cell>
        </row>
        <row r="1163">
          <cell r="A1163">
            <v>39054</v>
          </cell>
        </row>
        <row r="1164">
          <cell r="A1164">
            <v>39055</v>
          </cell>
        </row>
        <row r="1165">
          <cell r="A1165">
            <v>39056</v>
          </cell>
        </row>
        <row r="1166">
          <cell r="A1166">
            <v>39057</v>
          </cell>
        </row>
        <row r="1167">
          <cell r="A1167">
            <v>39058</v>
          </cell>
        </row>
        <row r="1168">
          <cell r="A1168">
            <v>39059</v>
          </cell>
        </row>
        <row r="1169">
          <cell r="A1169">
            <v>39060</v>
          </cell>
        </row>
        <row r="1170">
          <cell r="A1170">
            <v>39061</v>
          </cell>
        </row>
        <row r="1171">
          <cell r="A1171">
            <v>39062</v>
          </cell>
        </row>
        <row r="1172">
          <cell r="A1172">
            <v>39063</v>
          </cell>
        </row>
        <row r="1173">
          <cell r="A1173">
            <v>39064</v>
          </cell>
        </row>
        <row r="1174">
          <cell r="A1174">
            <v>39065</v>
          </cell>
        </row>
        <row r="1175">
          <cell r="A1175">
            <v>39066</v>
          </cell>
        </row>
        <row r="1176">
          <cell r="A1176">
            <v>39067</v>
          </cell>
        </row>
        <row r="1177">
          <cell r="A1177">
            <v>39068</v>
          </cell>
        </row>
        <row r="1178">
          <cell r="A1178">
            <v>39069</v>
          </cell>
        </row>
        <row r="1179">
          <cell r="A1179">
            <v>39070</v>
          </cell>
        </row>
        <row r="1180">
          <cell r="A1180">
            <v>39071</v>
          </cell>
        </row>
        <row r="1181">
          <cell r="A1181">
            <v>39072</v>
          </cell>
        </row>
        <row r="1182">
          <cell r="A1182">
            <v>39073</v>
          </cell>
        </row>
        <row r="1183">
          <cell r="A1183">
            <v>39074</v>
          </cell>
        </row>
        <row r="1184">
          <cell r="A1184">
            <v>39075</v>
          </cell>
        </row>
        <row r="1185">
          <cell r="A1185">
            <v>39076</v>
          </cell>
        </row>
        <row r="1186">
          <cell r="A1186">
            <v>39077</v>
          </cell>
        </row>
        <row r="1187">
          <cell r="A1187">
            <v>39078</v>
          </cell>
        </row>
        <row r="1188">
          <cell r="A1188">
            <v>39079</v>
          </cell>
        </row>
        <row r="1189">
          <cell r="A1189">
            <v>39080</v>
          </cell>
        </row>
        <row r="1190">
          <cell r="A1190">
            <v>39081</v>
          </cell>
        </row>
        <row r="1191">
          <cell r="A1191">
            <v>39082</v>
          </cell>
        </row>
        <row r="1192">
          <cell r="A1192">
            <v>39083</v>
          </cell>
        </row>
        <row r="1193">
          <cell r="A1193">
            <v>39084</v>
          </cell>
        </row>
        <row r="1194">
          <cell r="A1194">
            <v>39085</v>
          </cell>
        </row>
        <row r="1195">
          <cell r="A1195">
            <v>39086</v>
          </cell>
        </row>
        <row r="1196">
          <cell r="A1196">
            <v>39087</v>
          </cell>
        </row>
        <row r="1197">
          <cell r="A1197">
            <v>39088</v>
          </cell>
        </row>
        <row r="1198">
          <cell r="A1198">
            <v>39089</v>
          </cell>
        </row>
        <row r="1199">
          <cell r="A1199">
            <v>39090</v>
          </cell>
        </row>
        <row r="1200">
          <cell r="A1200">
            <v>39091</v>
          </cell>
        </row>
        <row r="1201">
          <cell r="A1201">
            <v>39092</v>
          </cell>
        </row>
        <row r="1202">
          <cell r="A1202">
            <v>39093</v>
          </cell>
        </row>
        <row r="1203">
          <cell r="A1203">
            <v>39094</v>
          </cell>
        </row>
        <row r="1204">
          <cell r="A1204">
            <v>39095</v>
          </cell>
        </row>
        <row r="1205">
          <cell r="A1205">
            <v>39096</v>
          </cell>
        </row>
        <row r="1206">
          <cell r="A1206">
            <v>39097</v>
          </cell>
        </row>
        <row r="1207">
          <cell r="A1207">
            <v>39098</v>
          </cell>
        </row>
        <row r="1208">
          <cell r="A1208">
            <v>39099</v>
          </cell>
        </row>
        <row r="1209">
          <cell r="A1209">
            <v>39100</v>
          </cell>
        </row>
        <row r="1210">
          <cell r="A1210">
            <v>39101</v>
          </cell>
        </row>
        <row r="1211">
          <cell r="A1211">
            <v>39102</v>
          </cell>
        </row>
        <row r="1212">
          <cell r="A1212">
            <v>39103</v>
          </cell>
        </row>
        <row r="1213">
          <cell r="A1213">
            <v>39104</v>
          </cell>
        </row>
        <row r="1214">
          <cell r="A1214">
            <v>39105</v>
          </cell>
        </row>
        <row r="1215">
          <cell r="A1215">
            <v>39106</v>
          </cell>
        </row>
        <row r="1216">
          <cell r="A1216">
            <v>39107</v>
          </cell>
        </row>
        <row r="1217">
          <cell r="A1217">
            <v>39108</v>
          </cell>
        </row>
        <row r="1218">
          <cell r="A1218">
            <v>39109</v>
          </cell>
        </row>
        <row r="1219">
          <cell r="A1219">
            <v>39110</v>
          </cell>
        </row>
        <row r="1220">
          <cell r="A1220">
            <v>39111</v>
          </cell>
        </row>
        <row r="1221">
          <cell r="A1221">
            <v>39112</v>
          </cell>
        </row>
        <row r="1222">
          <cell r="A1222">
            <v>39113</v>
          </cell>
        </row>
        <row r="1223">
          <cell r="A1223">
            <v>39114</v>
          </cell>
        </row>
        <row r="1224">
          <cell r="A1224">
            <v>39115</v>
          </cell>
        </row>
        <row r="1225">
          <cell r="A1225">
            <v>39116</v>
          </cell>
        </row>
        <row r="1226">
          <cell r="A1226">
            <v>39117</v>
          </cell>
        </row>
        <row r="1227">
          <cell r="A1227">
            <v>39118</v>
          </cell>
        </row>
        <row r="1228">
          <cell r="A1228">
            <v>39119</v>
          </cell>
        </row>
        <row r="1229">
          <cell r="A1229">
            <v>39120</v>
          </cell>
        </row>
        <row r="1230">
          <cell r="A1230">
            <v>39121</v>
          </cell>
        </row>
        <row r="1231">
          <cell r="A1231">
            <v>39122</v>
          </cell>
        </row>
        <row r="1232">
          <cell r="A1232">
            <v>39123</v>
          </cell>
        </row>
        <row r="1233">
          <cell r="A1233">
            <v>39124</v>
          </cell>
        </row>
        <row r="1234">
          <cell r="A1234">
            <v>39125</v>
          </cell>
        </row>
        <row r="1235">
          <cell r="A1235">
            <v>39126</v>
          </cell>
        </row>
        <row r="1236">
          <cell r="A1236">
            <v>39127</v>
          </cell>
        </row>
        <row r="1237">
          <cell r="A1237">
            <v>39128</v>
          </cell>
        </row>
        <row r="1238">
          <cell r="A1238">
            <v>39129</v>
          </cell>
        </row>
        <row r="1239">
          <cell r="A1239">
            <v>39130</v>
          </cell>
        </row>
        <row r="1240">
          <cell r="A1240">
            <v>39131</v>
          </cell>
        </row>
        <row r="1241">
          <cell r="A1241">
            <v>39132</v>
          </cell>
        </row>
        <row r="1242">
          <cell r="A1242">
            <v>39133</v>
          </cell>
        </row>
        <row r="1243">
          <cell r="A1243">
            <v>39134</v>
          </cell>
        </row>
        <row r="1244">
          <cell r="A1244">
            <v>39135</v>
          </cell>
        </row>
        <row r="1245">
          <cell r="A1245">
            <v>39136</v>
          </cell>
        </row>
        <row r="1246">
          <cell r="A1246">
            <v>39137</v>
          </cell>
        </row>
        <row r="1247">
          <cell r="A1247">
            <v>39138</v>
          </cell>
        </row>
        <row r="1248">
          <cell r="A1248">
            <v>39139</v>
          </cell>
        </row>
        <row r="1249">
          <cell r="A1249">
            <v>39140</v>
          </cell>
        </row>
        <row r="1250">
          <cell r="A1250">
            <v>39141</v>
          </cell>
        </row>
        <row r="1251">
          <cell r="A1251">
            <v>39142</v>
          </cell>
        </row>
        <row r="1252">
          <cell r="A1252">
            <v>39143</v>
          </cell>
        </row>
        <row r="1253">
          <cell r="A1253">
            <v>39144</v>
          </cell>
        </row>
        <row r="1254">
          <cell r="A1254">
            <v>39145</v>
          </cell>
        </row>
        <row r="1255">
          <cell r="A1255">
            <v>39146</v>
          </cell>
        </row>
        <row r="1256">
          <cell r="A1256">
            <v>39147</v>
          </cell>
        </row>
        <row r="1257">
          <cell r="A1257">
            <v>39148</v>
          </cell>
        </row>
        <row r="1258">
          <cell r="A1258">
            <v>39149</v>
          </cell>
        </row>
        <row r="1259">
          <cell r="A1259">
            <v>39150</v>
          </cell>
        </row>
        <row r="1260">
          <cell r="A1260">
            <v>39151</v>
          </cell>
        </row>
        <row r="1261">
          <cell r="A1261">
            <v>39152</v>
          </cell>
        </row>
        <row r="1262">
          <cell r="A1262">
            <v>39153</v>
          </cell>
        </row>
        <row r="1263">
          <cell r="A1263">
            <v>39154</v>
          </cell>
        </row>
        <row r="1264">
          <cell r="A1264">
            <v>39155</v>
          </cell>
        </row>
        <row r="1265">
          <cell r="A1265">
            <v>39156</v>
          </cell>
        </row>
        <row r="1266">
          <cell r="A1266">
            <v>39157</v>
          </cell>
        </row>
        <row r="1267">
          <cell r="A1267">
            <v>39158</v>
          </cell>
        </row>
        <row r="1268">
          <cell r="A1268">
            <v>39159</v>
          </cell>
        </row>
        <row r="1269">
          <cell r="A1269">
            <v>39160</v>
          </cell>
        </row>
        <row r="1270">
          <cell r="A1270">
            <v>39161</v>
          </cell>
        </row>
        <row r="1271">
          <cell r="A1271">
            <v>39162</v>
          </cell>
        </row>
        <row r="1272">
          <cell r="A1272">
            <v>39163</v>
          </cell>
        </row>
        <row r="1273">
          <cell r="A1273">
            <v>39164</v>
          </cell>
        </row>
        <row r="1274">
          <cell r="A1274">
            <v>39165</v>
          </cell>
        </row>
        <row r="1275">
          <cell r="A1275">
            <v>39166</v>
          </cell>
        </row>
        <row r="1276">
          <cell r="A1276">
            <v>39167</v>
          </cell>
        </row>
        <row r="1277">
          <cell r="A1277">
            <v>39168</v>
          </cell>
        </row>
        <row r="1278">
          <cell r="A1278">
            <v>39169</v>
          </cell>
        </row>
        <row r="1279">
          <cell r="A1279">
            <v>39170</v>
          </cell>
        </row>
        <row r="1280">
          <cell r="A1280">
            <v>39171</v>
          </cell>
        </row>
        <row r="1281">
          <cell r="A1281">
            <v>39172</v>
          </cell>
        </row>
        <row r="1282">
          <cell r="A1282">
            <v>39173</v>
          </cell>
        </row>
        <row r="1283">
          <cell r="A1283">
            <v>39174</v>
          </cell>
        </row>
        <row r="1284">
          <cell r="A1284">
            <v>39175</v>
          </cell>
        </row>
        <row r="1285">
          <cell r="A1285">
            <v>39176</v>
          </cell>
        </row>
        <row r="1286">
          <cell r="A1286">
            <v>39177</v>
          </cell>
        </row>
        <row r="1287">
          <cell r="A1287">
            <v>39178</v>
          </cell>
        </row>
        <row r="1288">
          <cell r="A1288">
            <v>39179</v>
          </cell>
        </row>
        <row r="1289">
          <cell r="A1289">
            <v>39180</v>
          </cell>
        </row>
        <row r="1290">
          <cell r="A1290">
            <v>39181</v>
          </cell>
        </row>
        <row r="1291">
          <cell r="A1291">
            <v>39182</v>
          </cell>
        </row>
        <row r="1292">
          <cell r="A1292">
            <v>39183</v>
          </cell>
        </row>
        <row r="1293">
          <cell r="A1293">
            <v>39184</v>
          </cell>
        </row>
        <row r="1294">
          <cell r="A1294">
            <v>39185</v>
          </cell>
        </row>
        <row r="1295">
          <cell r="A1295">
            <v>39186</v>
          </cell>
        </row>
        <row r="1296">
          <cell r="A1296">
            <v>39187</v>
          </cell>
        </row>
        <row r="1297">
          <cell r="A1297">
            <v>39188</v>
          </cell>
        </row>
        <row r="1298">
          <cell r="A1298">
            <v>39189</v>
          </cell>
        </row>
        <row r="1299">
          <cell r="A1299">
            <v>39190</v>
          </cell>
        </row>
        <row r="1300">
          <cell r="A1300">
            <v>39191</v>
          </cell>
        </row>
        <row r="1301">
          <cell r="A1301">
            <v>39192</v>
          </cell>
        </row>
        <row r="1302">
          <cell r="A1302">
            <v>39193</v>
          </cell>
        </row>
        <row r="1303">
          <cell r="A1303">
            <v>39194</v>
          </cell>
        </row>
        <row r="1304">
          <cell r="A1304">
            <v>39195</v>
          </cell>
        </row>
        <row r="1305">
          <cell r="A1305">
            <v>39196</v>
          </cell>
        </row>
        <row r="1306">
          <cell r="A1306">
            <v>39197</v>
          </cell>
        </row>
        <row r="1307">
          <cell r="A1307">
            <v>39198</v>
          </cell>
        </row>
        <row r="1308">
          <cell r="A1308">
            <v>39199</v>
          </cell>
        </row>
        <row r="1309">
          <cell r="A1309">
            <v>39200</v>
          </cell>
        </row>
        <row r="1310">
          <cell r="A1310">
            <v>39201</v>
          </cell>
        </row>
        <row r="1311">
          <cell r="A1311">
            <v>39202</v>
          </cell>
        </row>
        <row r="1312">
          <cell r="A1312">
            <v>39203</v>
          </cell>
        </row>
        <row r="1313">
          <cell r="A1313">
            <v>39204</v>
          </cell>
        </row>
        <row r="1314">
          <cell r="A1314">
            <v>39205</v>
          </cell>
        </row>
        <row r="1315">
          <cell r="A1315">
            <v>39206</v>
          </cell>
        </row>
        <row r="1316">
          <cell r="A1316">
            <v>39207</v>
          </cell>
        </row>
        <row r="1317">
          <cell r="A1317">
            <v>39208</v>
          </cell>
        </row>
        <row r="1318">
          <cell r="A1318">
            <v>39209</v>
          </cell>
        </row>
        <row r="1319">
          <cell r="A1319">
            <v>39210</v>
          </cell>
        </row>
        <row r="1320">
          <cell r="A1320">
            <v>39211</v>
          </cell>
        </row>
        <row r="1321">
          <cell r="A1321">
            <v>39212</v>
          </cell>
        </row>
        <row r="1322">
          <cell r="A1322">
            <v>39213</v>
          </cell>
        </row>
        <row r="1323">
          <cell r="A1323">
            <v>39214</v>
          </cell>
        </row>
        <row r="1324">
          <cell r="A1324">
            <v>39215</v>
          </cell>
        </row>
        <row r="1325">
          <cell r="A1325">
            <v>39216</v>
          </cell>
        </row>
        <row r="1326">
          <cell r="A1326">
            <v>39217</v>
          </cell>
        </row>
        <row r="1327">
          <cell r="A1327">
            <v>39218</v>
          </cell>
        </row>
        <row r="1328">
          <cell r="A1328">
            <v>39219</v>
          </cell>
        </row>
        <row r="1329">
          <cell r="A1329">
            <v>39220</v>
          </cell>
        </row>
        <row r="1330">
          <cell r="A1330">
            <v>39221</v>
          </cell>
        </row>
        <row r="1331">
          <cell r="A1331">
            <v>39222</v>
          </cell>
        </row>
        <row r="1332">
          <cell r="A1332">
            <v>39223</v>
          </cell>
        </row>
        <row r="1333">
          <cell r="A1333">
            <v>39224</v>
          </cell>
        </row>
        <row r="1334">
          <cell r="A1334">
            <v>39225</v>
          </cell>
        </row>
        <row r="1335">
          <cell r="A1335">
            <v>39226</v>
          </cell>
        </row>
        <row r="1336">
          <cell r="A1336">
            <v>39227</v>
          </cell>
        </row>
        <row r="1337">
          <cell r="A1337">
            <v>39228</v>
          </cell>
        </row>
        <row r="1338">
          <cell r="A1338">
            <v>39229</v>
          </cell>
        </row>
        <row r="1339">
          <cell r="A1339">
            <v>39230</v>
          </cell>
        </row>
        <row r="1340">
          <cell r="A1340">
            <v>39231</v>
          </cell>
        </row>
        <row r="1341">
          <cell r="A1341">
            <v>39232</v>
          </cell>
        </row>
        <row r="1342">
          <cell r="A1342">
            <v>39233</v>
          </cell>
        </row>
        <row r="1343">
          <cell r="A1343">
            <v>39234</v>
          </cell>
        </row>
        <row r="1344">
          <cell r="A1344">
            <v>39235</v>
          </cell>
        </row>
        <row r="1345">
          <cell r="A1345">
            <v>39236</v>
          </cell>
        </row>
        <row r="1346">
          <cell r="A1346">
            <v>39237</v>
          </cell>
        </row>
        <row r="1347">
          <cell r="A1347">
            <v>39238</v>
          </cell>
        </row>
        <row r="1348">
          <cell r="A1348">
            <v>39239</v>
          </cell>
        </row>
        <row r="1349">
          <cell r="A1349">
            <v>39240</v>
          </cell>
        </row>
        <row r="1350">
          <cell r="A1350">
            <v>39241</v>
          </cell>
        </row>
        <row r="1351">
          <cell r="A1351">
            <v>39242</v>
          </cell>
        </row>
        <row r="1352">
          <cell r="A1352">
            <v>39243</v>
          </cell>
        </row>
        <row r="1353">
          <cell r="A1353">
            <v>39244</v>
          </cell>
        </row>
        <row r="1354">
          <cell r="A1354">
            <v>39245</v>
          </cell>
        </row>
        <row r="1355">
          <cell r="A1355">
            <v>39246</v>
          </cell>
        </row>
        <row r="1356">
          <cell r="A1356">
            <v>39247</v>
          </cell>
        </row>
        <row r="1357">
          <cell r="A1357">
            <v>39248</v>
          </cell>
        </row>
        <row r="1358">
          <cell r="A1358">
            <v>39249</v>
          </cell>
        </row>
        <row r="1359">
          <cell r="A1359">
            <v>39250</v>
          </cell>
        </row>
        <row r="1360">
          <cell r="A1360">
            <v>39251</v>
          </cell>
        </row>
        <row r="1361">
          <cell r="A1361">
            <v>39252</v>
          </cell>
        </row>
        <row r="1362">
          <cell r="A1362">
            <v>39253</v>
          </cell>
        </row>
        <row r="1363">
          <cell r="A1363">
            <v>39254</v>
          </cell>
        </row>
        <row r="1364">
          <cell r="A1364">
            <v>39255</v>
          </cell>
        </row>
        <row r="1365">
          <cell r="A1365">
            <v>39256</v>
          </cell>
        </row>
        <row r="1366">
          <cell r="A1366">
            <v>39257</v>
          </cell>
        </row>
        <row r="1367">
          <cell r="A1367">
            <v>39258</v>
          </cell>
        </row>
        <row r="1368">
          <cell r="A1368">
            <v>39259</v>
          </cell>
        </row>
        <row r="1369">
          <cell r="A1369">
            <v>39260</v>
          </cell>
        </row>
        <row r="1370">
          <cell r="A1370">
            <v>39261</v>
          </cell>
        </row>
        <row r="1371">
          <cell r="A1371">
            <v>39262</v>
          </cell>
        </row>
        <row r="1372">
          <cell r="A1372">
            <v>39263</v>
          </cell>
        </row>
        <row r="1373">
          <cell r="A1373">
            <v>39264</v>
          </cell>
        </row>
        <row r="1374">
          <cell r="A1374">
            <v>39265</v>
          </cell>
        </row>
        <row r="1375">
          <cell r="A1375">
            <v>39266</v>
          </cell>
        </row>
        <row r="1376">
          <cell r="A1376">
            <v>39267</v>
          </cell>
        </row>
        <row r="1377">
          <cell r="A1377">
            <v>39268</v>
          </cell>
        </row>
        <row r="1378">
          <cell r="A1378">
            <v>39269</v>
          </cell>
        </row>
        <row r="1379">
          <cell r="A1379">
            <v>39270</v>
          </cell>
        </row>
        <row r="1380">
          <cell r="A1380">
            <v>39271</v>
          </cell>
        </row>
        <row r="1381">
          <cell r="A1381">
            <v>39272</v>
          </cell>
        </row>
        <row r="1382">
          <cell r="A1382">
            <v>39273</v>
          </cell>
        </row>
        <row r="1383">
          <cell r="A1383">
            <v>39274</v>
          </cell>
        </row>
        <row r="1384">
          <cell r="A1384">
            <v>39275</v>
          </cell>
        </row>
        <row r="1385">
          <cell r="A1385">
            <v>39276</v>
          </cell>
        </row>
        <row r="1386">
          <cell r="A1386">
            <v>39277</v>
          </cell>
        </row>
        <row r="1387">
          <cell r="A1387">
            <v>39278</v>
          </cell>
        </row>
        <row r="1388">
          <cell r="A1388">
            <v>39279</v>
          </cell>
        </row>
        <row r="1389">
          <cell r="A1389">
            <v>39280</v>
          </cell>
        </row>
        <row r="1390">
          <cell r="A1390">
            <v>39281</v>
          </cell>
        </row>
        <row r="1391">
          <cell r="A1391">
            <v>39282</v>
          </cell>
        </row>
        <row r="1392">
          <cell r="A1392">
            <v>39283</v>
          </cell>
        </row>
        <row r="1393">
          <cell r="A1393">
            <v>39284</v>
          </cell>
        </row>
        <row r="1394">
          <cell r="A1394">
            <v>39285</v>
          </cell>
        </row>
        <row r="1395">
          <cell r="A1395">
            <v>39286</v>
          </cell>
        </row>
        <row r="1396">
          <cell r="A1396">
            <v>39287</v>
          </cell>
        </row>
        <row r="1397">
          <cell r="A1397">
            <v>39288</v>
          </cell>
        </row>
        <row r="1398">
          <cell r="A1398">
            <v>39289</v>
          </cell>
        </row>
        <row r="1399">
          <cell r="A1399">
            <v>39290</v>
          </cell>
        </row>
        <row r="1400">
          <cell r="A1400">
            <v>39291</v>
          </cell>
        </row>
        <row r="1401">
          <cell r="A1401">
            <v>39292</v>
          </cell>
        </row>
        <row r="1402">
          <cell r="A1402">
            <v>39293</v>
          </cell>
        </row>
        <row r="1403">
          <cell r="A1403">
            <v>39294</v>
          </cell>
        </row>
        <row r="1404">
          <cell r="A1404">
            <v>39295</v>
          </cell>
        </row>
        <row r="1405">
          <cell r="A1405">
            <v>39296</v>
          </cell>
        </row>
        <row r="1406">
          <cell r="A1406">
            <v>39297</v>
          </cell>
        </row>
        <row r="1407">
          <cell r="A1407">
            <v>39298</v>
          </cell>
        </row>
        <row r="1408">
          <cell r="A1408">
            <v>39299</v>
          </cell>
        </row>
        <row r="1409">
          <cell r="A1409">
            <v>39300</v>
          </cell>
        </row>
        <row r="1410">
          <cell r="A1410">
            <v>39301</v>
          </cell>
        </row>
        <row r="1411">
          <cell r="A1411">
            <v>39302</v>
          </cell>
        </row>
        <row r="1412">
          <cell r="A1412">
            <v>39303</v>
          </cell>
        </row>
        <row r="1413">
          <cell r="A1413">
            <v>39304</v>
          </cell>
        </row>
        <row r="1414">
          <cell r="A1414">
            <v>39305</v>
          </cell>
        </row>
        <row r="1415">
          <cell r="A1415">
            <v>39306</v>
          </cell>
        </row>
        <row r="1416">
          <cell r="A1416">
            <v>39307</v>
          </cell>
        </row>
        <row r="1417">
          <cell r="A1417">
            <v>39308</v>
          </cell>
        </row>
        <row r="1418">
          <cell r="A1418">
            <v>39309</v>
          </cell>
        </row>
        <row r="1419">
          <cell r="A1419">
            <v>39310</v>
          </cell>
        </row>
        <row r="1420">
          <cell r="A1420">
            <v>39311</v>
          </cell>
        </row>
        <row r="1421">
          <cell r="A1421">
            <v>39312</v>
          </cell>
        </row>
        <row r="1422">
          <cell r="A1422">
            <v>39313</v>
          </cell>
        </row>
        <row r="1423">
          <cell r="A1423">
            <v>39314</v>
          </cell>
        </row>
        <row r="1424">
          <cell r="A1424">
            <v>39315</v>
          </cell>
        </row>
        <row r="1425">
          <cell r="A1425">
            <v>39316</v>
          </cell>
        </row>
        <row r="1426">
          <cell r="A1426">
            <v>39317</v>
          </cell>
        </row>
        <row r="1427">
          <cell r="A1427">
            <v>39318</v>
          </cell>
        </row>
        <row r="1428">
          <cell r="A1428">
            <v>39319</v>
          </cell>
        </row>
        <row r="1429">
          <cell r="A1429">
            <v>39320</v>
          </cell>
        </row>
        <row r="1430">
          <cell r="A1430">
            <v>39321</v>
          </cell>
        </row>
        <row r="1431">
          <cell r="A1431">
            <v>39322</v>
          </cell>
        </row>
        <row r="1432">
          <cell r="A1432">
            <v>39323</v>
          </cell>
        </row>
        <row r="1433">
          <cell r="A1433">
            <v>39324</v>
          </cell>
        </row>
        <row r="1434">
          <cell r="A1434">
            <v>39325</v>
          </cell>
        </row>
        <row r="1435">
          <cell r="A1435">
            <v>39326</v>
          </cell>
        </row>
        <row r="1436">
          <cell r="A1436">
            <v>39327</v>
          </cell>
        </row>
        <row r="1437">
          <cell r="A1437">
            <v>39328</v>
          </cell>
        </row>
        <row r="1438">
          <cell r="A1438">
            <v>39329</v>
          </cell>
        </row>
        <row r="1439">
          <cell r="A1439">
            <v>39330</v>
          </cell>
        </row>
        <row r="1440">
          <cell r="A1440">
            <v>39331</v>
          </cell>
        </row>
        <row r="1441">
          <cell r="A1441">
            <v>39332</v>
          </cell>
        </row>
        <row r="1442">
          <cell r="A1442">
            <v>39333</v>
          </cell>
        </row>
        <row r="1443">
          <cell r="A1443">
            <v>39334</v>
          </cell>
        </row>
        <row r="1444">
          <cell r="A1444">
            <v>39335</v>
          </cell>
        </row>
        <row r="1445">
          <cell r="A1445">
            <v>39336</v>
          </cell>
        </row>
        <row r="1446">
          <cell r="A1446">
            <v>39337</v>
          </cell>
        </row>
        <row r="1447">
          <cell r="A1447">
            <v>39338</v>
          </cell>
        </row>
        <row r="1448">
          <cell r="A1448">
            <v>39339</v>
          </cell>
        </row>
        <row r="1449">
          <cell r="A1449">
            <v>39340</v>
          </cell>
        </row>
        <row r="1450">
          <cell r="A1450">
            <v>39341</v>
          </cell>
        </row>
        <row r="1451">
          <cell r="A1451">
            <v>39342</v>
          </cell>
        </row>
        <row r="1452">
          <cell r="A1452">
            <v>39343</v>
          </cell>
        </row>
        <row r="1453">
          <cell r="A1453">
            <v>39344</v>
          </cell>
        </row>
        <row r="1454">
          <cell r="A1454">
            <v>39345</v>
          </cell>
        </row>
        <row r="1455">
          <cell r="A1455">
            <v>39346</v>
          </cell>
        </row>
        <row r="1456">
          <cell r="A1456">
            <v>39347</v>
          </cell>
        </row>
        <row r="1457">
          <cell r="A1457">
            <v>39348</v>
          </cell>
        </row>
        <row r="1458">
          <cell r="A1458">
            <v>39349</v>
          </cell>
        </row>
        <row r="1459">
          <cell r="A1459">
            <v>39350</v>
          </cell>
        </row>
        <row r="1460">
          <cell r="A1460">
            <v>39351</v>
          </cell>
        </row>
        <row r="1461">
          <cell r="A1461">
            <v>39352</v>
          </cell>
        </row>
        <row r="1462">
          <cell r="A1462">
            <v>39353</v>
          </cell>
        </row>
        <row r="1463">
          <cell r="A1463">
            <v>39354</v>
          </cell>
        </row>
        <row r="1464">
          <cell r="A1464">
            <v>39355</v>
          </cell>
        </row>
        <row r="1465">
          <cell r="A1465">
            <v>39356</v>
          </cell>
        </row>
        <row r="1466">
          <cell r="A1466">
            <v>39357</v>
          </cell>
        </row>
        <row r="1467">
          <cell r="A1467">
            <v>39358</v>
          </cell>
        </row>
        <row r="1468">
          <cell r="A1468">
            <v>39359</v>
          </cell>
        </row>
        <row r="1469">
          <cell r="A1469">
            <v>39360</v>
          </cell>
        </row>
        <row r="1470">
          <cell r="A1470">
            <v>39361</v>
          </cell>
        </row>
        <row r="1471">
          <cell r="A1471">
            <v>39362</v>
          </cell>
        </row>
        <row r="1472">
          <cell r="A1472">
            <v>39363</v>
          </cell>
        </row>
        <row r="1473">
          <cell r="A1473">
            <v>39364</v>
          </cell>
        </row>
        <row r="1474">
          <cell r="A1474">
            <v>39365</v>
          </cell>
        </row>
        <row r="1475">
          <cell r="A1475">
            <v>39366</v>
          </cell>
        </row>
        <row r="1476">
          <cell r="A1476">
            <v>39367</v>
          </cell>
        </row>
        <row r="1477">
          <cell r="A1477">
            <v>39368</v>
          </cell>
        </row>
        <row r="1478">
          <cell r="A1478">
            <v>39369</v>
          </cell>
        </row>
        <row r="1479">
          <cell r="A1479">
            <v>39370</v>
          </cell>
        </row>
        <row r="1480">
          <cell r="A1480">
            <v>39371</v>
          </cell>
        </row>
        <row r="1481">
          <cell r="A1481">
            <v>39372</v>
          </cell>
        </row>
        <row r="1482">
          <cell r="A1482">
            <v>39373</v>
          </cell>
        </row>
        <row r="1483">
          <cell r="A1483">
            <v>39374</v>
          </cell>
        </row>
        <row r="1484">
          <cell r="A1484">
            <v>39375</v>
          </cell>
        </row>
        <row r="1485">
          <cell r="A1485">
            <v>39376</v>
          </cell>
        </row>
        <row r="1486">
          <cell r="A1486">
            <v>39377</v>
          </cell>
        </row>
        <row r="1487">
          <cell r="A1487">
            <v>39378</v>
          </cell>
        </row>
        <row r="1488">
          <cell r="A1488">
            <v>39379</v>
          </cell>
        </row>
        <row r="1489">
          <cell r="A1489">
            <v>39380</v>
          </cell>
        </row>
        <row r="1490">
          <cell r="A1490">
            <v>39381</v>
          </cell>
        </row>
        <row r="1491">
          <cell r="A1491">
            <v>39382</v>
          </cell>
        </row>
        <row r="1492">
          <cell r="A1492">
            <v>39383</v>
          </cell>
        </row>
        <row r="1493">
          <cell r="A1493">
            <v>39384</v>
          </cell>
        </row>
        <row r="1494">
          <cell r="A1494">
            <v>39385</v>
          </cell>
        </row>
        <row r="1495">
          <cell r="A1495">
            <v>39386</v>
          </cell>
        </row>
        <row r="1496">
          <cell r="A1496">
            <v>39387</v>
          </cell>
        </row>
        <row r="1497">
          <cell r="A1497">
            <v>39388</v>
          </cell>
        </row>
        <row r="1498">
          <cell r="A1498">
            <v>39389</v>
          </cell>
        </row>
        <row r="1499">
          <cell r="A1499">
            <v>39390</v>
          </cell>
        </row>
        <row r="1500">
          <cell r="A1500">
            <v>39391</v>
          </cell>
        </row>
        <row r="1501">
          <cell r="A1501">
            <v>39392</v>
          </cell>
        </row>
        <row r="1502">
          <cell r="A1502">
            <v>39393</v>
          </cell>
        </row>
        <row r="1503">
          <cell r="A1503">
            <v>39394</v>
          </cell>
        </row>
        <row r="1504">
          <cell r="A1504">
            <v>39395</v>
          </cell>
        </row>
        <row r="1505">
          <cell r="A1505">
            <v>39396</v>
          </cell>
        </row>
        <row r="1506">
          <cell r="A1506">
            <v>39397</v>
          </cell>
        </row>
        <row r="1507">
          <cell r="A1507">
            <v>39398</v>
          </cell>
        </row>
        <row r="1508">
          <cell r="A1508">
            <v>39399</v>
          </cell>
        </row>
        <row r="1509">
          <cell r="A1509">
            <v>39400</v>
          </cell>
        </row>
        <row r="1510">
          <cell r="A1510">
            <v>39401</v>
          </cell>
        </row>
        <row r="1511">
          <cell r="A1511">
            <v>39402</v>
          </cell>
        </row>
        <row r="1512">
          <cell r="A1512">
            <v>39403</v>
          </cell>
        </row>
        <row r="1513">
          <cell r="A1513">
            <v>39404</v>
          </cell>
        </row>
        <row r="1514">
          <cell r="A1514">
            <v>39405</v>
          </cell>
        </row>
        <row r="1515">
          <cell r="A1515">
            <v>39406</v>
          </cell>
        </row>
        <row r="1516">
          <cell r="A1516">
            <v>39407</v>
          </cell>
        </row>
        <row r="1517">
          <cell r="A1517">
            <v>39408</v>
          </cell>
        </row>
        <row r="1518">
          <cell r="A1518">
            <v>39409</v>
          </cell>
        </row>
        <row r="1519">
          <cell r="A1519">
            <v>39410</v>
          </cell>
        </row>
        <row r="1520">
          <cell r="A1520">
            <v>39411</v>
          </cell>
        </row>
        <row r="1521">
          <cell r="A1521">
            <v>39412</v>
          </cell>
        </row>
        <row r="1522">
          <cell r="A1522">
            <v>39413</v>
          </cell>
        </row>
        <row r="1523">
          <cell r="A1523">
            <v>39414</v>
          </cell>
        </row>
        <row r="1524">
          <cell r="A1524">
            <v>39415</v>
          </cell>
        </row>
        <row r="1525">
          <cell r="A1525">
            <v>39416</v>
          </cell>
        </row>
        <row r="1526">
          <cell r="A1526">
            <v>39417</v>
          </cell>
        </row>
        <row r="1527">
          <cell r="A1527">
            <v>39418</v>
          </cell>
        </row>
        <row r="1528">
          <cell r="A1528">
            <v>39419</v>
          </cell>
        </row>
        <row r="1529">
          <cell r="A1529">
            <v>39420</v>
          </cell>
        </row>
        <row r="1530">
          <cell r="A1530">
            <v>39421</v>
          </cell>
        </row>
        <row r="1531">
          <cell r="A1531">
            <v>39422</v>
          </cell>
        </row>
        <row r="1532">
          <cell r="A1532">
            <v>39423</v>
          </cell>
        </row>
        <row r="1533">
          <cell r="A1533">
            <v>39424</v>
          </cell>
        </row>
        <row r="1534">
          <cell r="A1534">
            <v>39425</v>
          </cell>
        </row>
        <row r="1535">
          <cell r="A1535">
            <v>39426</v>
          </cell>
        </row>
        <row r="1536">
          <cell r="A1536">
            <v>39427</v>
          </cell>
        </row>
        <row r="1537">
          <cell r="A1537">
            <v>39428</v>
          </cell>
        </row>
        <row r="1538">
          <cell r="A1538">
            <v>39429</v>
          </cell>
        </row>
        <row r="1539">
          <cell r="A1539">
            <v>39430</v>
          </cell>
        </row>
        <row r="1540">
          <cell r="A1540">
            <v>39431</v>
          </cell>
        </row>
        <row r="1541">
          <cell r="A1541">
            <v>39432</v>
          </cell>
        </row>
        <row r="1542">
          <cell r="A1542">
            <v>39433</v>
          </cell>
        </row>
        <row r="1543">
          <cell r="A1543">
            <v>39434</v>
          </cell>
        </row>
        <row r="1544">
          <cell r="A1544">
            <v>39435</v>
          </cell>
        </row>
        <row r="1545">
          <cell r="A1545">
            <v>39436</v>
          </cell>
        </row>
        <row r="1546">
          <cell r="A1546">
            <v>39437</v>
          </cell>
        </row>
        <row r="1547">
          <cell r="A1547">
            <v>39438</v>
          </cell>
        </row>
        <row r="1548">
          <cell r="A1548">
            <v>39439</v>
          </cell>
        </row>
        <row r="1549">
          <cell r="A1549">
            <v>39440</v>
          </cell>
        </row>
        <row r="1550">
          <cell r="A1550">
            <v>39441</v>
          </cell>
        </row>
        <row r="1551">
          <cell r="A1551">
            <v>39442</v>
          </cell>
        </row>
        <row r="1552">
          <cell r="A1552">
            <v>39443</v>
          </cell>
        </row>
        <row r="1553">
          <cell r="A1553">
            <v>39444</v>
          </cell>
        </row>
        <row r="1554">
          <cell r="A1554">
            <v>39445</v>
          </cell>
        </row>
        <row r="1555">
          <cell r="A1555">
            <v>39446</v>
          </cell>
        </row>
        <row r="1556">
          <cell r="A1556">
            <v>39447</v>
          </cell>
        </row>
        <row r="1557">
          <cell r="A1557">
            <v>39448</v>
          </cell>
        </row>
        <row r="1558">
          <cell r="A1558">
            <v>39449</v>
          </cell>
        </row>
        <row r="1559">
          <cell r="A1559">
            <v>39450</v>
          </cell>
        </row>
        <row r="1560">
          <cell r="A1560">
            <v>39451</v>
          </cell>
        </row>
        <row r="1561">
          <cell r="A1561">
            <v>39452</v>
          </cell>
        </row>
        <row r="1562">
          <cell r="A1562">
            <v>39453</v>
          </cell>
        </row>
        <row r="1563">
          <cell r="A1563">
            <v>39454</v>
          </cell>
        </row>
        <row r="1564">
          <cell r="A1564">
            <v>39455</v>
          </cell>
        </row>
        <row r="1565">
          <cell r="A1565">
            <v>39456</v>
          </cell>
        </row>
        <row r="1566">
          <cell r="A1566">
            <v>39457</v>
          </cell>
        </row>
        <row r="1567">
          <cell r="A1567">
            <v>39458</v>
          </cell>
        </row>
        <row r="1568">
          <cell r="A1568">
            <v>39459</v>
          </cell>
        </row>
        <row r="1569">
          <cell r="A1569">
            <v>39460</v>
          </cell>
        </row>
        <row r="1570">
          <cell r="A1570">
            <v>39461</v>
          </cell>
        </row>
        <row r="1571">
          <cell r="A1571">
            <v>39462</v>
          </cell>
        </row>
        <row r="1572">
          <cell r="A1572">
            <v>39463</v>
          </cell>
        </row>
        <row r="1573">
          <cell r="A1573">
            <v>39464</v>
          </cell>
        </row>
        <row r="1574">
          <cell r="A1574">
            <v>39465</v>
          </cell>
        </row>
        <row r="1575">
          <cell r="A1575">
            <v>39466</v>
          </cell>
        </row>
        <row r="1576">
          <cell r="A1576">
            <v>39467</v>
          </cell>
        </row>
        <row r="1577">
          <cell r="A1577">
            <v>39468</v>
          </cell>
        </row>
        <row r="1578">
          <cell r="A1578">
            <v>39469</v>
          </cell>
        </row>
        <row r="1579">
          <cell r="A1579">
            <v>39470</v>
          </cell>
        </row>
        <row r="1580">
          <cell r="A1580">
            <v>39471</v>
          </cell>
        </row>
        <row r="1581">
          <cell r="A1581">
            <v>39472</v>
          </cell>
        </row>
        <row r="1582">
          <cell r="A1582">
            <v>39473</v>
          </cell>
        </row>
        <row r="1583">
          <cell r="A1583">
            <v>39474</v>
          </cell>
        </row>
        <row r="1584">
          <cell r="A1584">
            <v>39475</v>
          </cell>
        </row>
        <row r="1585">
          <cell r="A1585">
            <v>39476</v>
          </cell>
        </row>
        <row r="1586">
          <cell r="A1586">
            <v>39477</v>
          </cell>
        </row>
        <row r="1587">
          <cell r="A1587">
            <v>39478</v>
          </cell>
        </row>
        <row r="1588">
          <cell r="A1588">
            <v>39479</v>
          </cell>
        </row>
        <row r="1589">
          <cell r="A1589">
            <v>39480</v>
          </cell>
        </row>
        <row r="1590">
          <cell r="A1590">
            <v>39481</v>
          </cell>
        </row>
        <row r="1591">
          <cell r="A1591">
            <v>39482</v>
          </cell>
        </row>
        <row r="1592">
          <cell r="A1592">
            <v>39483</v>
          </cell>
        </row>
        <row r="1593">
          <cell r="A1593">
            <v>39484</v>
          </cell>
        </row>
        <row r="1594">
          <cell r="A1594">
            <v>39485</v>
          </cell>
        </row>
        <row r="1595">
          <cell r="A1595">
            <v>39486</v>
          </cell>
        </row>
        <row r="1596">
          <cell r="A1596">
            <v>39487</v>
          </cell>
        </row>
        <row r="1597">
          <cell r="A1597">
            <v>39488</v>
          </cell>
        </row>
        <row r="1598">
          <cell r="A1598">
            <v>39489</v>
          </cell>
        </row>
        <row r="1599">
          <cell r="A1599">
            <v>39490</v>
          </cell>
        </row>
        <row r="1600">
          <cell r="A1600">
            <v>39491</v>
          </cell>
        </row>
        <row r="1601">
          <cell r="A1601">
            <v>39492</v>
          </cell>
        </row>
        <row r="1602">
          <cell r="A1602">
            <v>39493</v>
          </cell>
        </row>
        <row r="1603">
          <cell r="A1603">
            <v>39494</v>
          </cell>
        </row>
        <row r="1604">
          <cell r="A1604">
            <v>39495</v>
          </cell>
        </row>
        <row r="1605">
          <cell r="A1605">
            <v>39496</v>
          </cell>
        </row>
        <row r="1606">
          <cell r="A1606">
            <v>39497</v>
          </cell>
        </row>
        <row r="1607">
          <cell r="A1607">
            <v>39498</v>
          </cell>
        </row>
        <row r="1608">
          <cell r="A1608">
            <v>39499</v>
          </cell>
        </row>
        <row r="1609">
          <cell r="A1609">
            <v>39500</v>
          </cell>
        </row>
        <row r="1610">
          <cell r="A1610">
            <v>39501</v>
          </cell>
        </row>
        <row r="1611">
          <cell r="A1611">
            <v>39502</v>
          </cell>
        </row>
        <row r="1612">
          <cell r="A1612">
            <v>39503</v>
          </cell>
        </row>
        <row r="1613">
          <cell r="A1613">
            <v>39504</v>
          </cell>
        </row>
        <row r="1614">
          <cell r="A1614">
            <v>39505</v>
          </cell>
        </row>
        <row r="1615">
          <cell r="A1615">
            <v>39506</v>
          </cell>
        </row>
        <row r="1616">
          <cell r="A1616">
            <v>39507</v>
          </cell>
        </row>
        <row r="1617">
          <cell r="A1617">
            <v>39508</v>
          </cell>
        </row>
        <row r="1618">
          <cell r="A1618">
            <v>39509</v>
          </cell>
        </row>
        <row r="1619">
          <cell r="A1619">
            <v>39510</v>
          </cell>
        </row>
        <row r="1620">
          <cell r="A1620">
            <v>39511</v>
          </cell>
        </row>
        <row r="1621">
          <cell r="A1621">
            <v>39512</v>
          </cell>
        </row>
        <row r="1622">
          <cell r="A1622">
            <v>39513</v>
          </cell>
        </row>
        <row r="1623">
          <cell r="A1623">
            <v>39514</v>
          </cell>
        </row>
        <row r="1624">
          <cell r="A1624">
            <v>39515</v>
          </cell>
        </row>
        <row r="1625">
          <cell r="A1625">
            <v>39516</v>
          </cell>
        </row>
        <row r="1626">
          <cell r="A1626">
            <v>39517</v>
          </cell>
        </row>
        <row r="1627">
          <cell r="A1627">
            <v>39518</v>
          </cell>
        </row>
        <row r="1628">
          <cell r="A1628">
            <v>39519</v>
          </cell>
        </row>
        <row r="1629">
          <cell r="A1629">
            <v>39520</v>
          </cell>
        </row>
        <row r="1630">
          <cell r="A1630">
            <v>39521</v>
          </cell>
        </row>
        <row r="1631">
          <cell r="A1631">
            <v>39522</v>
          </cell>
        </row>
        <row r="1632">
          <cell r="A1632">
            <v>39523</v>
          </cell>
        </row>
        <row r="1633">
          <cell r="A1633">
            <v>39524</v>
          </cell>
        </row>
        <row r="1634">
          <cell r="A1634">
            <v>39525</v>
          </cell>
        </row>
        <row r="1635">
          <cell r="A1635">
            <v>39526</v>
          </cell>
        </row>
        <row r="1636">
          <cell r="A1636">
            <v>39527</v>
          </cell>
        </row>
        <row r="1637">
          <cell r="A1637">
            <v>39528</v>
          </cell>
        </row>
        <row r="1638">
          <cell r="A1638">
            <v>39529</v>
          </cell>
        </row>
        <row r="1639">
          <cell r="A1639">
            <v>39530</v>
          </cell>
        </row>
        <row r="1640">
          <cell r="A1640">
            <v>39531</v>
          </cell>
        </row>
        <row r="1641">
          <cell r="A1641">
            <v>39532</v>
          </cell>
        </row>
        <row r="1642">
          <cell r="A1642">
            <v>39533</v>
          </cell>
        </row>
        <row r="1643">
          <cell r="A1643">
            <v>39534</v>
          </cell>
        </row>
        <row r="1644">
          <cell r="A1644">
            <v>39535</v>
          </cell>
        </row>
        <row r="1645">
          <cell r="A1645">
            <v>39536</v>
          </cell>
        </row>
        <row r="1646">
          <cell r="A1646">
            <v>39537</v>
          </cell>
        </row>
        <row r="1647">
          <cell r="A1647">
            <v>39538</v>
          </cell>
        </row>
        <row r="1648">
          <cell r="A1648">
            <v>39539</v>
          </cell>
        </row>
        <row r="1649">
          <cell r="A1649">
            <v>39540</v>
          </cell>
        </row>
        <row r="1650">
          <cell r="A1650">
            <v>39541</v>
          </cell>
        </row>
        <row r="1651">
          <cell r="A1651">
            <v>39542</v>
          </cell>
        </row>
        <row r="1652">
          <cell r="A1652">
            <v>39543</v>
          </cell>
        </row>
        <row r="1653">
          <cell r="A1653">
            <v>39544</v>
          </cell>
        </row>
        <row r="1654">
          <cell r="A1654">
            <v>39545</v>
          </cell>
        </row>
        <row r="1655">
          <cell r="A1655">
            <v>39546</v>
          </cell>
        </row>
        <row r="1656">
          <cell r="A1656">
            <v>39547</v>
          </cell>
        </row>
        <row r="1657">
          <cell r="A1657">
            <v>39548</v>
          </cell>
        </row>
        <row r="1658">
          <cell r="A1658">
            <v>39549</v>
          </cell>
        </row>
        <row r="1659">
          <cell r="A1659">
            <v>39550</v>
          </cell>
        </row>
        <row r="1660">
          <cell r="A1660">
            <v>39551</v>
          </cell>
        </row>
        <row r="1661">
          <cell r="A1661">
            <v>39552</v>
          </cell>
        </row>
        <row r="1662">
          <cell r="A1662">
            <v>39553</v>
          </cell>
        </row>
        <row r="1663">
          <cell r="A1663">
            <v>39554</v>
          </cell>
        </row>
        <row r="1664">
          <cell r="A1664">
            <v>39555</v>
          </cell>
        </row>
        <row r="1665">
          <cell r="A1665">
            <v>39556</v>
          </cell>
        </row>
        <row r="1666">
          <cell r="A1666">
            <v>39557</v>
          </cell>
        </row>
        <row r="1667">
          <cell r="A1667">
            <v>39558</v>
          </cell>
        </row>
        <row r="1668">
          <cell r="A1668">
            <v>39559</v>
          </cell>
        </row>
        <row r="1669">
          <cell r="A1669">
            <v>39560</v>
          </cell>
        </row>
        <row r="1670">
          <cell r="A1670">
            <v>39561</v>
          </cell>
        </row>
        <row r="1671">
          <cell r="A1671">
            <v>39562</v>
          </cell>
        </row>
        <row r="1672">
          <cell r="A1672">
            <v>39563</v>
          </cell>
        </row>
        <row r="1673">
          <cell r="A1673">
            <v>39564</v>
          </cell>
        </row>
        <row r="1674">
          <cell r="A1674">
            <v>39565</v>
          </cell>
        </row>
        <row r="1675">
          <cell r="A1675">
            <v>39566</v>
          </cell>
        </row>
        <row r="1676">
          <cell r="A1676">
            <v>39567</v>
          </cell>
        </row>
        <row r="1677">
          <cell r="A1677">
            <v>39568</v>
          </cell>
        </row>
        <row r="1678">
          <cell r="A1678">
            <v>39569</v>
          </cell>
        </row>
        <row r="1679">
          <cell r="A1679">
            <v>39570</v>
          </cell>
        </row>
        <row r="1680">
          <cell r="A1680">
            <v>39571</v>
          </cell>
        </row>
        <row r="1681">
          <cell r="A1681">
            <v>39572</v>
          </cell>
        </row>
        <row r="1682">
          <cell r="A1682">
            <v>39573</v>
          </cell>
        </row>
        <row r="1683">
          <cell r="A1683">
            <v>39574</v>
          </cell>
        </row>
        <row r="1684">
          <cell r="A1684">
            <v>39575</v>
          </cell>
        </row>
        <row r="1685">
          <cell r="A1685">
            <v>39576</v>
          </cell>
        </row>
        <row r="1686">
          <cell r="A1686">
            <v>39577</v>
          </cell>
        </row>
        <row r="1687">
          <cell r="A1687">
            <v>39578</v>
          </cell>
        </row>
        <row r="1688">
          <cell r="A1688">
            <v>39579</v>
          </cell>
        </row>
        <row r="1689">
          <cell r="A1689">
            <v>39580</v>
          </cell>
        </row>
        <row r="1690">
          <cell r="A1690">
            <v>39581</v>
          </cell>
        </row>
        <row r="1691">
          <cell r="A1691">
            <v>39582</v>
          </cell>
        </row>
        <row r="1692">
          <cell r="A1692">
            <v>39583</v>
          </cell>
        </row>
        <row r="1693">
          <cell r="A1693">
            <v>39584</v>
          </cell>
        </row>
        <row r="1694">
          <cell r="A1694">
            <v>39585</v>
          </cell>
        </row>
        <row r="1695">
          <cell r="A1695">
            <v>39586</v>
          </cell>
        </row>
        <row r="1696">
          <cell r="A1696">
            <v>39587</v>
          </cell>
        </row>
        <row r="1697">
          <cell r="A1697">
            <v>39588</v>
          </cell>
        </row>
        <row r="1698">
          <cell r="A1698">
            <v>39589</v>
          </cell>
        </row>
        <row r="1699">
          <cell r="A1699">
            <v>39590</v>
          </cell>
        </row>
        <row r="1700">
          <cell r="A1700">
            <v>39591</v>
          </cell>
        </row>
        <row r="1701">
          <cell r="A1701">
            <v>39592</v>
          </cell>
        </row>
        <row r="1702">
          <cell r="A1702">
            <v>39593</v>
          </cell>
        </row>
        <row r="1703">
          <cell r="A1703">
            <v>39594</v>
          </cell>
        </row>
        <row r="1704">
          <cell r="A1704">
            <v>39595</v>
          </cell>
        </row>
        <row r="1705">
          <cell r="A1705">
            <v>39596</v>
          </cell>
        </row>
        <row r="1706">
          <cell r="A1706">
            <v>39597</v>
          </cell>
        </row>
        <row r="1707">
          <cell r="A1707">
            <v>39598</v>
          </cell>
        </row>
        <row r="1708">
          <cell r="A1708">
            <v>39599</v>
          </cell>
        </row>
        <row r="1709">
          <cell r="A1709">
            <v>39600</v>
          </cell>
        </row>
        <row r="1710">
          <cell r="A1710">
            <v>39601</v>
          </cell>
        </row>
        <row r="1711">
          <cell r="A1711">
            <v>39602</v>
          </cell>
        </row>
        <row r="1712">
          <cell r="A1712">
            <v>39603</v>
          </cell>
        </row>
        <row r="1713">
          <cell r="A1713">
            <v>39604</v>
          </cell>
        </row>
        <row r="1714">
          <cell r="A1714">
            <v>39605</v>
          </cell>
        </row>
        <row r="1715">
          <cell r="A1715">
            <v>39606</v>
          </cell>
        </row>
        <row r="1716">
          <cell r="A1716">
            <v>39607</v>
          </cell>
        </row>
        <row r="1717">
          <cell r="A1717">
            <v>39608</v>
          </cell>
        </row>
        <row r="1718">
          <cell r="A1718">
            <v>39609</v>
          </cell>
        </row>
        <row r="1719">
          <cell r="A1719">
            <v>39610</v>
          </cell>
        </row>
        <row r="1720">
          <cell r="A1720">
            <v>39611</v>
          </cell>
        </row>
        <row r="1721">
          <cell r="A1721">
            <v>39612</v>
          </cell>
        </row>
        <row r="1722">
          <cell r="A1722">
            <v>39613</v>
          </cell>
        </row>
        <row r="1723">
          <cell r="A1723">
            <v>39614</v>
          </cell>
        </row>
        <row r="1724">
          <cell r="A1724">
            <v>39615</v>
          </cell>
        </row>
        <row r="1725">
          <cell r="A1725">
            <v>39616</v>
          </cell>
        </row>
        <row r="1726">
          <cell r="A1726">
            <v>39617</v>
          </cell>
        </row>
        <row r="1727">
          <cell r="A1727">
            <v>39618</v>
          </cell>
        </row>
        <row r="1728">
          <cell r="A1728">
            <v>39619</v>
          </cell>
        </row>
        <row r="1729">
          <cell r="A1729">
            <v>39620</v>
          </cell>
        </row>
        <row r="1730">
          <cell r="A1730">
            <v>39621</v>
          </cell>
        </row>
        <row r="1731">
          <cell r="A1731">
            <v>39622</v>
          </cell>
        </row>
        <row r="1732">
          <cell r="A1732">
            <v>39623</v>
          </cell>
        </row>
        <row r="1733">
          <cell r="A1733">
            <v>39624</v>
          </cell>
        </row>
        <row r="1734">
          <cell r="A1734">
            <v>39625</v>
          </cell>
        </row>
        <row r="1735">
          <cell r="A1735">
            <v>39626</v>
          </cell>
        </row>
        <row r="1736">
          <cell r="A1736">
            <v>39627</v>
          </cell>
        </row>
        <row r="1737">
          <cell r="A1737">
            <v>39628</v>
          </cell>
        </row>
        <row r="1738">
          <cell r="A1738">
            <v>39629</v>
          </cell>
        </row>
        <row r="1739">
          <cell r="A1739">
            <v>39630</v>
          </cell>
        </row>
        <row r="1740">
          <cell r="A1740">
            <v>39631</v>
          </cell>
        </row>
        <row r="1741">
          <cell r="A1741">
            <v>39632</v>
          </cell>
        </row>
        <row r="1742">
          <cell r="A1742">
            <v>39633</v>
          </cell>
        </row>
        <row r="1743">
          <cell r="A1743">
            <v>39634</v>
          </cell>
        </row>
        <row r="1744">
          <cell r="A1744">
            <v>39635</v>
          </cell>
        </row>
        <row r="1745">
          <cell r="A1745">
            <v>39636</v>
          </cell>
        </row>
        <row r="1746">
          <cell r="A1746">
            <v>39637</v>
          </cell>
        </row>
        <row r="1747">
          <cell r="A1747">
            <v>39638</v>
          </cell>
        </row>
        <row r="1748">
          <cell r="A1748">
            <v>39639</v>
          </cell>
        </row>
        <row r="1749">
          <cell r="A1749">
            <v>39640</v>
          </cell>
        </row>
        <row r="1750">
          <cell r="A1750">
            <v>39641</v>
          </cell>
        </row>
        <row r="1751">
          <cell r="A1751">
            <v>39642</v>
          </cell>
        </row>
        <row r="1752">
          <cell r="A1752">
            <v>39643</v>
          </cell>
        </row>
        <row r="1753">
          <cell r="A1753">
            <v>39644</v>
          </cell>
        </row>
        <row r="1754">
          <cell r="A1754">
            <v>39645</v>
          </cell>
        </row>
        <row r="1755">
          <cell r="A1755">
            <v>39646</v>
          </cell>
        </row>
        <row r="1756">
          <cell r="A1756">
            <v>39647</v>
          </cell>
        </row>
        <row r="1757">
          <cell r="A1757">
            <v>39648</v>
          </cell>
        </row>
        <row r="1758">
          <cell r="A1758">
            <v>39649</v>
          </cell>
        </row>
        <row r="1759">
          <cell r="A1759">
            <v>39650</v>
          </cell>
        </row>
        <row r="1760">
          <cell r="A1760">
            <v>39651</v>
          </cell>
        </row>
        <row r="1761">
          <cell r="A1761">
            <v>39652</v>
          </cell>
        </row>
        <row r="1762">
          <cell r="A1762">
            <v>39653</v>
          </cell>
        </row>
        <row r="1763">
          <cell r="A1763">
            <v>39654</v>
          </cell>
        </row>
        <row r="1764">
          <cell r="A1764">
            <v>39655</v>
          </cell>
        </row>
        <row r="1765">
          <cell r="A1765">
            <v>39656</v>
          </cell>
        </row>
        <row r="1766">
          <cell r="A1766">
            <v>39657</v>
          </cell>
        </row>
        <row r="1767">
          <cell r="A1767">
            <v>39658</v>
          </cell>
        </row>
        <row r="1768">
          <cell r="A1768">
            <v>39659</v>
          </cell>
        </row>
        <row r="1769">
          <cell r="A1769">
            <v>39660</v>
          </cell>
        </row>
        <row r="1770">
          <cell r="A1770">
            <v>39661</v>
          </cell>
        </row>
        <row r="1771">
          <cell r="A1771">
            <v>39662</v>
          </cell>
        </row>
        <row r="1772">
          <cell r="A1772">
            <v>39663</v>
          </cell>
        </row>
        <row r="1773">
          <cell r="A1773">
            <v>39664</v>
          </cell>
        </row>
        <row r="1774">
          <cell r="A1774">
            <v>39665</v>
          </cell>
        </row>
        <row r="1775">
          <cell r="A1775">
            <v>39666</v>
          </cell>
        </row>
        <row r="1776">
          <cell r="A1776">
            <v>39667</v>
          </cell>
        </row>
        <row r="1777">
          <cell r="A1777">
            <v>39668</v>
          </cell>
        </row>
        <row r="1778">
          <cell r="A1778">
            <v>39669</v>
          </cell>
        </row>
        <row r="1779">
          <cell r="A1779">
            <v>39670</v>
          </cell>
        </row>
        <row r="1780">
          <cell r="A1780">
            <v>39671</v>
          </cell>
        </row>
        <row r="1781">
          <cell r="A1781">
            <v>39672</v>
          </cell>
        </row>
        <row r="1782">
          <cell r="A1782">
            <v>39673</v>
          </cell>
        </row>
        <row r="1783">
          <cell r="A1783">
            <v>39674</v>
          </cell>
        </row>
        <row r="1784">
          <cell r="A1784">
            <v>39675</v>
          </cell>
        </row>
        <row r="1785">
          <cell r="A1785">
            <v>39676</v>
          </cell>
        </row>
        <row r="1786">
          <cell r="A1786">
            <v>39677</v>
          </cell>
        </row>
        <row r="1787">
          <cell r="A1787">
            <v>39678</v>
          </cell>
        </row>
        <row r="1788">
          <cell r="A1788">
            <v>39679</v>
          </cell>
        </row>
        <row r="1789">
          <cell r="A1789">
            <v>39680</v>
          </cell>
        </row>
        <row r="1790">
          <cell r="A1790">
            <v>39681</v>
          </cell>
        </row>
        <row r="1791">
          <cell r="A1791">
            <v>39682</v>
          </cell>
        </row>
        <row r="1792">
          <cell r="A1792">
            <v>39683</v>
          </cell>
        </row>
        <row r="1793">
          <cell r="A1793">
            <v>39684</v>
          </cell>
        </row>
        <row r="1794">
          <cell r="A1794">
            <v>39685</v>
          </cell>
        </row>
        <row r="1795">
          <cell r="A1795">
            <v>39686</v>
          </cell>
        </row>
        <row r="1796">
          <cell r="A1796">
            <v>39687</v>
          </cell>
        </row>
        <row r="1797">
          <cell r="A1797">
            <v>39688</v>
          </cell>
        </row>
        <row r="1798">
          <cell r="A1798">
            <v>39689</v>
          </cell>
        </row>
        <row r="1799">
          <cell r="A1799">
            <v>39690</v>
          </cell>
        </row>
        <row r="1800">
          <cell r="A1800">
            <v>39691</v>
          </cell>
        </row>
        <row r="1801">
          <cell r="A1801">
            <v>39692</v>
          </cell>
        </row>
        <row r="1802">
          <cell r="A1802">
            <v>39693</v>
          </cell>
        </row>
        <row r="1803">
          <cell r="A1803">
            <v>39694</v>
          </cell>
        </row>
        <row r="1804">
          <cell r="A1804">
            <v>39695</v>
          </cell>
        </row>
        <row r="1805">
          <cell r="A1805">
            <v>39696</v>
          </cell>
        </row>
        <row r="1806">
          <cell r="A1806">
            <v>39697</v>
          </cell>
        </row>
        <row r="1807">
          <cell r="A1807">
            <v>39698</v>
          </cell>
        </row>
        <row r="1808">
          <cell r="A1808">
            <v>39699</v>
          </cell>
        </row>
        <row r="1809">
          <cell r="A1809">
            <v>39700</v>
          </cell>
        </row>
        <row r="1810">
          <cell r="A1810">
            <v>39701</v>
          </cell>
        </row>
        <row r="1811">
          <cell r="A1811">
            <v>39702</v>
          </cell>
        </row>
        <row r="1812">
          <cell r="A1812">
            <v>39703</v>
          </cell>
        </row>
        <row r="1813">
          <cell r="A1813">
            <v>39704</v>
          </cell>
        </row>
        <row r="1814">
          <cell r="A1814">
            <v>39705</v>
          </cell>
        </row>
        <row r="1815">
          <cell r="A1815">
            <v>39706</v>
          </cell>
        </row>
        <row r="1816">
          <cell r="A1816">
            <v>39707</v>
          </cell>
        </row>
        <row r="1817">
          <cell r="A1817">
            <v>39708</v>
          </cell>
        </row>
        <row r="1818">
          <cell r="A1818">
            <v>39709</v>
          </cell>
        </row>
        <row r="1819">
          <cell r="A1819">
            <v>39710</v>
          </cell>
        </row>
        <row r="1820">
          <cell r="A1820">
            <v>39711</v>
          </cell>
        </row>
        <row r="1821">
          <cell r="A1821">
            <v>39712</v>
          </cell>
        </row>
        <row r="1822">
          <cell r="A1822">
            <v>39713</v>
          </cell>
        </row>
        <row r="1823">
          <cell r="A1823">
            <v>39714</v>
          </cell>
        </row>
        <row r="1824">
          <cell r="A1824">
            <v>39715</v>
          </cell>
        </row>
        <row r="1825">
          <cell r="A1825">
            <v>39716</v>
          </cell>
        </row>
        <row r="1826">
          <cell r="A1826">
            <v>39717</v>
          </cell>
        </row>
        <row r="1827">
          <cell r="A1827">
            <v>39718</v>
          </cell>
        </row>
        <row r="1828">
          <cell r="A1828">
            <v>39719</v>
          </cell>
        </row>
        <row r="1829">
          <cell r="A1829">
            <v>39720</v>
          </cell>
        </row>
        <row r="1830">
          <cell r="A1830">
            <v>39721</v>
          </cell>
        </row>
        <row r="1831">
          <cell r="A1831">
            <v>39722</v>
          </cell>
        </row>
        <row r="1832">
          <cell r="A1832">
            <v>39723</v>
          </cell>
        </row>
        <row r="1833">
          <cell r="A1833">
            <v>39724</v>
          </cell>
        </row>
        <row r="1834">
          <cell r="A1834">
            <v>39725</v>
          </cell>
        </row>
        <row r="1835">
          <cell r="A1835">
            <v>39726</v>
          </cell>
        </row>
        <row r="1836">
          <cell r="A1836">
            <v>39727</v>
          </cell>
        </row>
        <row r="1837">
          <cell r="A1837">
            <v>39728</v>
          </cell>
        </row>
        <row r="1838">
          <cell r="A1838">
            <v>39729</v>
          </cell>
        </row>
        <row r="1839">
          <cell r="A1839">
            <v>39730</v>
          </cell>
        </row>
        <row r="1840">
          <cell r="A1840">
            <v>39731</v>
          </cell>
        </row>
        <row r="1841">
          <cell r="A1841">
            <v>39732</v>
          </cell>
        </row>
        <row r="1842">
          <cell r="A1842">
            <v>39733</v>
          </cell>
        </row>
        <row r="1843">
          <cell r="A1843">
            <v>39734</v>
          </cell>
        </row>
        <row r="1844">
          <cell r="A1844">
            <v>39735</v>
          </cell>
        </row>
        <row r="1845">
          <cell r="A1845">
            <v>39736</v>
          </cell>
        </row>
        <row r="1846">
          <cell r="A1846">
            <v>39737</v>
          </cell>
        </row>
        <row r="1847">
          <cell r="A1847">
            <v>39738</v>
          </cell>
        </row>
        <row r="1848">
          <cell r="A1848">
            <v>39739</v>
          </cell>
        </row>
        <row r="1849">
          <cell r="A1849">
            <v>39740</v>
          </cell>
        </row>
        <row r="1850">
          <cell r="A1850">
            <v>39741</v>
          </cell>
        </row>
        <row r="1851">
          <cell r="A1851">
            <v>39742</v>
          </cell>
        </row>
        <row r="1852">
          <cell r="A1852">
            <v>39743</v>
          </cell>
        </row>
        <row r="1853">
          <cell r="A1853">
            <v>39744</v>
          </cell>
        </row>
        <row r="1854">
          <cell r="A1854">
            <v>39745</v>
          </cell>
        </row>
        <row r="1855">
          <cell r="A1855">
            <v>39746</v>
          </cell>
        </row>
        <row r="1856">
          <cell r="A1856">
            <v>39747</v>
          </cell>
        </row>
        <row r="1857">
          <cell r="A1857">
            <v>39748</v>
          </cell>
        </row>
        <row r="1858">
          <cell r="A1858">
            <v>39749</v>
          </cell>
        </row>
        <row r="1859">
          <cell r="A1859">
            <v>39750</v>
          </cell>
        </row>
        <row r="1860">
          <cell r="A1860">
            <v>39751</v>
          </cell>
        </row>
        <row r="1861">
          <cell r="A1861">
            <v>39752</v>
          </cell>
        </row>
        <row r="1862">
          <cell r="A1862">
            <v>39753</v>
          </cell>
        </row>
        <row r="1863">
          <cell r="A1863">
            <v>39754</v>
          </cell>
        </row>
        <row r="1864">
          <cell r="A1864">
            <v>39755</v>
          </cell>
        </row>
        <row r="1865">
          <cell r="A1865">
            <v>39756</v>
          </cell>
        </row>
        <row r="1866">
          <cell r="A1866">
            <v>39757</v>
          </cell>
        </row>
        <row r="1867">
          <cell r="A1867">
            <v>39758</v>
          </cell>
        </row>
        <row r="1868">
          <cell r="A1868">
            <v>39759</v>
          </cell>
        </row>
        <row r="1869">
          <cell r="A1869">
            <v>39760</v>
          </cell>
        </row>
        <row r="1870">
          <cell r="A1870">
            <v>39761</v>
          </cell>
        </row>
        <row r="1871">
          <cell r="A1871">
            <v>39762</v>
          </cell>
        </row>
        <row r="1872">
          <cell r="A1872">
            <v>39763</v>
          </cell>
        </row>
        <row r="1873">
          <cell r="A1873">
            <v>39764</v>
          </cell>
        </row>
        <row r="1874">
          <cell r="A1874">
            <v>39765</v>
          </cell>
        </row>
        <row r="1875">
          <cell r="A1875">
            <v>39766</v>
          </cell>
        </row>
        <row r="1876">
          <cell r="A1876">
            <v>39767</v>
          </cell>
        </row>
        <row r="1877">
          <cell r="A1877">
            <v>39768</v>
          </cell>
        </row>
        <row r="1878">
          <cell r="A1878">
            <v>39769</v>
          </cell>
        </row>
        <row r="1879">
          <cell r="A1879">
            <v>39770</v>
          </cell>
        </row>
        <row r="1880">
          <cell r="A1880">
            <v>39771</v>
          </cell>
        </row>
        <row r="1881">
          <cell r="A1881">
            <v>39772</v>
          </cell>
        </row>
        <row r="1882">
          <cell r="A1882">
            <v>39773</v>
          </cell>
        </row>
        <row r="1883">
          <cell r="A1883">
            <v>39774</v>
          </cell>
        </row>
        <row r="1884">
          <cell r="A1884">
            <v>39775</v>
          </cell>
        </row>
        <row r="1885">
          <cell r="A1885">
            <v>39776</v>
          </cell>
        </row>
        <row r="1886">
          <cell r="A1886">
            <v>39777</v>
          </cell>
        </row>
        <row r="1887">
          <cell r="A1887">
            <v>39778</v>
          </cell>
        </row>
        <row r="1888">
          <cell r="A1888">
            <v>39779</v>
          </cell>
        </row>
        <row r="1889">
          <cell r="A1889">
            <v>39780</v>
          </cell>
        </row>
        <row r="1890">
          <cell r="A1890">
            <v>39781</v>
          </cell>
        </row>
        <row r="1891">
          <cell r="A1891">
            <v>39782</v>
          </cell>
        </row>
        <row r="1892">
          <cell r="A1892">
            <v>39783</v>
          </cell>
        </row>
        <row r="1893">
          <cell r="A1893">
            <v>39784</v>
          </cell>
        </row>
        <row r="1894">
          <cell r="A1894">
            <v>39785</v>
          </cell>
        </row>
        <row r="1895">
          <cell r="A1895">
            <v>39786</v>
          </cell>
        </row>
        <row r="1896">
          <cell r="A1896">
            <v>39787</v>
          </cell>
        </row>
        <row r="1897">
          <cell r="A1897">
            <v>39788</v>
          </cell>
        </row>
        <row r="1898">
          <cell r="A1898">
            <v>39789</v>
          </cell>
        </row>
        <row r="1899">
          <cell r="A1899">
            <v>39790</v>
          </cell>
        </row>
        <row r="1900">
          <cell r="A1900">
            <v>39791</v>
          </cell>
        </row>
        <row r="1901">
          <cell r="A1901">
            <v>39792</v>
          </cell>
        </row>
        <row r="1902">
          <cell r="A1902">
            <v>39793</v>
          </cell>
        </row>
        <row r="1903">
          <cell r="A1903">
            <v>39794</v>
          </cell>
        </row>
        <row r="1904">
          <cell r="A1904">
            <v>39795</v>
          </cell>
        </row>
        <row r="1905">
          <cell r="A1905">
            <v>39796</v>
          </cell>
        </row>
        <row r="1906">
          <cell r="A1906">
            <v>39797</v>
          </cell>
        </row>
        <row r="1907">
          <cell r="A1907">
            <v>39798</v>
          </cell>
        </row>
        <row r="1908">
          <cell r="A1908">
            <v>39799</v>
          </cell>
        </row>
        <row r="1909">
          <cell r="A1909">
            <v>39800</v>
          </cell>
        </row>
        <row r="1910">
          <cell r="A1910">
            <v>39801</v>
          </cell>
        </row>
        <row r="1911">
          <cell r="A1911">
            <v>39802</v>
          </cell>
        </row>
        <row r="1912">
          <cell r="A1912">
            <v>39803</v>
          </cell>
        </row>
        <row r="1913">
          <cell r="A1913">
            <v>39804</v>
          </cell>
        </row>
        <row r="1914">
          <cell r="A1914">
            <v>39805</v>
          </cell>
        </row>
        <row r="1915">
          <cell r="A1915">
            <v>39806</v>
          </cell>
        </row>
        <row r="1916">
          <cell r="A1916">
            <v>39807</v>
          </cell>
        </row>
        <row r="1917">
          <cell r="A1917">
            <v>39808</v>
          </cell>
        </row>
        <row r="1918">
          <cell r="A1918">
            <v>39809</v>
          </cell>
        </row>
        <row r="1919">
          <cell r="A1919">
            <v>39810</v>
          </cell>
        </row>
        <row r="1920">
          <cell r="A1920">
            <v>39811</v>
          </cell>
        </row>
        <row r="1921">
          <cell r="A1921">
            <v>39812</v>
          </cell>
        </row>
        <row r="1922">
          <cell r="A1922">
            <v>39813</v>
          </cell>
        </row>
        <row r="1923">
          <cell r="A1923">
            <v>39814</v>
          </cell>
        </row>
        <row r="1924">
          <cell r="A1924">
            <v>39815</v>
          </cell>
        </row>
        <row r="1925">
          <cell r="A1925">
            <v>39816</v>
          </cell>
        </row>
        <row r="1926">
          <cell r="A1926">
            <v>39817</v>
          </cell>
        </row>
        <row r="1927">
          <cell r="A1927">
            <v>39818</v>
          </cell>
        </row>
        <row r="1928">
          <cell r="A1928">
            <v>39819</v>
          </cell>
        </row>
        <row r="1929">
          <cell r="A1929">
            <v>39820</v>
          </cell>
        </row>
        <row r="1930">
          <cell r="A1930">
            <v>39821</v>
          </cell>
        </row>
        <row r="1931">
          <cell r="A1931">
            <v>39822</v>
          </cell>
        </row>
        <row r="1932">
          <cell r="A1932">
            <v>39823</v>
          </cell>
        </row>
        <row r="1933">
          <cell r="A1933">
            <v>39824</v>
          </cell>
        </row>
        <row r="1934">
          <cell r="A1934">
            <v>39825</v>
          </cell>
        </row>
        <row r="1935">
          <cell r="A1935">
            <v>39826</v>
          </cell>
        </row>
        <row r="1936">
          <cell r="A1936">
            <v>39827</v>
          </cell>
        </row>
        <row r="1937">
          <cell r="A1937">
            <v>39828</v>
          </cell>
        </row>
        <row r="1938">
          <cell r="A1938">
            <v>39829</v>
          </cell>
        </row>
        <row r="1939">
          <cell r="A1939">
            <v>39830</v>
          </cell>
        </row>
        <row r="1940">
          <cell r="A1940">
            <v>39831</v>
          </cell>
        </row>
        <row r="1941">
          <cell r="A1941">
            <v>39832</v>
          </cell>
        </row>
        <row r="1942">
          <cell r="A1942">
            <v>39833</v>
          </cell>
        </row>
        <row r="1943">
          <cell r="A1943">
            <v>39834</v>
          </cell>
        </row>
        <row r="1944">
          <cell r="A1944">
            <v>39835</v>
          </cell>
        </row>
        <row r="1945">
          <cell r="A1945">
            <v>39836</v>
          </cell>
        </row>
        <row r="1946">
          <cell r="A1946">
            <v>39837</v>
          </cell>
        </row>
        <row r="1947">
          <cell r="A1947">
            <v>39838</v>
          </cell>
        </row>
        <row r="1948">
          <cell r="A1948">
            <v>39839</v>
          </cell>
        </row>
        <row r="1949">
          <cell r="A1949">
            <v>39840</v>
          </cell>
        </row>
        <row r="1950">
          <cell r="A1950">
            <v>39841</v>
          </cell>
        </row>
        <row r="1951">
          <cell r="A1951">
            <v>39842</v>
          </cell>
        </row>
        <row r="1952">
          <cell r="A1952">
            <v>39843</v>
          </cell>
        </row>
        <row r="1953">
          <cell r="A1953">
            <v>39844</v>
          </cell>
        </row>
        <row r="1954">
          <cell r="A1954">
            <v>39845</v>
          </cell>
        </row>
        <row r="1955">
          <cell r="A1955">
            <v>39846</v>
          </cell>
        </row>
        <row r="1956">
          <cell r="A1956">
            <v>39847</v>
          </cell>
        </row>
        <row r="1957">
          <cell r="A1957">
            <v>39848</v>
          </cell>
        </row>
        <row r="1958">
          <cell r="A1958">
            <v>39849</v>
          </cell>
        </row>
        <row r="1959">
          <cell r="A1959">
            <v>39850</v>
          </cell>
        </row>
        <row r="1960">
          <cell r="A1960">
            <v>39851</v>
          </cell>
        </row>
        <row r="1961">
          <cell r="A1961">
            <v>39852</v>
          </cell>
        </row>
        <row r="1962">
          <cell r="A1962">
            <v>39853</v>
          </cell>
        </row>
        <row r="1963">
          <cell r="A1963">
            <v>39854</v>
          </cell>
        </row>
        <row r="1964">
          <cell r="A1964">
            <v>39855</v>
          </cell>
        </row>
        <row r="1965">
          <cell r="A1965">
            <v>39856</v>
          </cell>
        </row>
        <row r="1966">
          <cell r="A1966">
            <v>39857</v>
          </cell>
        </row>
        <row r="1967">
          <cell r="A1967">
            <v>39858</v>
          </cell>
        </row>
        <row r="1968">
          <cell r="A1968">
            <v>39859</v>
          </cell>
        </row>
        <row r="1969">
          <cell r="A1969">
            <v>39860</v>
          </cell>
        </row>
        <row r="1970">
          <cell r="A1970">
            <v>39861</v>
          </cell>
        </row>
        <row r="1971">
          <cell r="A1971">
            <v>39862</v>
          </cell>
        </row>
        <row r="1972">
          <cell r="A1972">
            <v>39863</v>
          </cell>
        </row>
        <row r="1973">
          <cell r="A1973">
            <v>39864</v>
          </cell>
        </row>
        <row r="1974">
          <cell r="A1974">
            <v>39865</v>
          </cell>
        </row>
        <row r="1975">
          <cell r="A1975">
            <v>39866</v>
          </cell>
        </row>
        <row r="1976">
          <cell r="A1976">
            <v>39867</v>
          </cell>
        </row>
        <row r="1977">
          <cell r="A1977">
            <v>39868</v>
          </cell>
        </row>
        <row r="1978">
          <cell r="A1978">
            <v>39869</v>
          </cell>
        </row>
        <row r="1979">
          <cell r="A1979">
            <v>39870</v>
          </cell>
        </row>
        <row r="1980">
          <cell r="A1980">
            <v>39871</v>
          </cell>
        </row>
        <row r="1981">
          <cell r="A1981">
            <v>39872</v>
          </cell>
        </row>
        <row r="1982">
          <cell r="A1982">
            <v>39873</v>
          </cell>
        </row>
        <row r="1983">
          <cell r="A1983">
            <v>39874</v>
          </cell>
        </row>
        <row r="1984">
          <cell r="A1984">
            <v>39875</v>
          </cell>
        </row>
        <row r="1985">
          <cell r="A1985">
            <v>39876</v>
          </cell>
        </row>
        <row r="1986">
          <cell r="A1986">
            <v>39877</v>
          </cell>
        </row>
        <row r="1987">
          <cell r="A1987">
            <v>39878</v>
          </cell>
        </row>
        <row r="1988">
          <cell r="A1988">
            <v>39879</v>
          </cell>
        </row>
        <row r="1989">
          <cell r="A1989">
            <v>39880</v>
          </cell>
        </row>
        <row r="1990">
          <cell r="A1990">
            <v>39881</v>
          </cell>
        </row>
        <row r="1991">
          <cell r="A1991">
            <v>39882</v>
          </cell>
        </row>
        <row r="1992">
          <cell r="A1992">
            <v>39883</v>
          </cell>
        </row>
        <row r="1993">
          <cell r="A1993">
            <v>39884</v>
          </cell>
        </row>
        <row r="1994">
          <cell r="A1994">
            <v>39885</v>
          </cell>
        </row>
        <row r="1995">
          <cell r="A1995">
            <v>39886</v>
          </cell>
        </row>
        <row r="1996">
          <cell r="A1996">
            <v>39887</v>
          </cell>
        </row>
        <row r="1997">
          <cell r="A1997">
            <v>39888</v>
          </cell>
        </row>
        <row r="1998">
          <cell r="A1998">
            <v>39889</v>
          </cell>
        </row>
        <row r="1999">
          <cell r="A1999">
            <v>39890</v>
          </cell>
        </row>
        <row r="2000">
          <cell r="A2000">
            <v>39891</v>
          </cell>
        </row>
        <row r="2001">
          <cell r="A2001">
            <v>39892</v>
          </cell>
        </row>
        <row r="2002">
          <cell r="A2002">
            <v>39893</v>
          </cell>
        </row>
        <row r="2003">
          <cell r="A2003">
            <v>39894</v>
          </cell>
        </row>
        <row r="2004">
          <cell r="A2004">
            <v>39895</v>
          </cell>
        </row>
        <row r="2005">
          <cell r="A2005">
            <v>39896</v>
          </cell>
        </row>
        <row r="2006">
          <cell r="A2006">
            <v>39897</v>
          </cell>
        </row>
        <row r="2007">
          <cell r="A2007">
            <v>39898</v>
          </cell>
        </row>
        <row r="2008">
          <cell r="A2008">
            <v>39899</v>
          </cell>
        </row>
        <row r="2009">
          <cell r="A2009">
            <v>39900</v>
          </cell>
        </row>
        <row r="2010">
          <cell r="A2010">
            <v>39901</v>
          </cell>
        </row>
        <row r="2011">
          <cell r="A2011">
            <v>39902</v>
          </cell>
        </row>
        <row r="2012">
          <cell r="A2012">
            <v>39903</v>
          </cell>
        </row>
        <row r="2013">
          <cell r="A2013">
            <v>39904</v>
          </cell>
        </row>
        <row r="2014">
          <cell r="A2014">
            <v>39905</v>
          </cell>
        </row>
        <row r="2015">
          <cell r="A2015">
            <v>39906</v>
          </cell>
        </row>
        <row r="2016">
          <cell r="A2016">
            <v>39907</v>
          </cell>
        </row>
        <row r="2017">
          <cell r="A2017">
            <v>39908</v>
          </cell>
        </row>
        <row r="2018">
          <cell r="A2018">
            <v>39909</v>
          </cell>
        </row>
        <row r="2019">
          <cell r="A2019">
            <v>39910</v>
          </cell>
        </row>
        <row r="2020">
          <cell r="A2020">
            <v>39911</v>
          </cell>
        </row>
        <row r="2021">
          <cell r="A2021">
            <v>39912</v>
          </cell>
        </row>
        <row r="2022">
          <cell r="A2022">
            <v>39913</v>
          </cell>
        </row>
        <row r="2023">
          <cell r="A2023">
            <v>39914</v>
          </cell>
        </row>
        <row r="2024">
          <cell r="A2024">
            <v>39915</v>
          </cell>
        </row>
        <row r="2025">
          <cell r="A2025">
            <v>39916</v>
          </cell>
        </row>
        <row r="2026">
          <cell r="A2026">
            <v>39917</v>
          </cell>
        </row>
        <row r="2027">
          <cell r="A2027">
            <v>39918</v>
          </cell>
        </row>
        <row r="2028">
          <cell r="A2028">
            <v>39919</v>
          </cell>
        </row>
        <row r="2029">
          <cell r="A2029">
            <v>39920</v>
          </cell>
        </row>
        <row r="2030">
          <cell r="A2030">
            <v>39921</v>
          </cell>
        </row>
        <row r="2031">
          <cell r="A2031">
            <v>39922</v>
          </cell>
        </row>
        <row r="2032">
          <cell r="A2032">
            <v>39923</v>
          </cell>
        </row>
        <row r="2033">
          <cell r="A2033">
            <v>39924</v>
          </cell>
        </row>
        <row r="2034">
          <cell r="A2034">
            <v>39925</v>
          </cell>
        </row>
        <row r="2035">
          <cell r="A2035">
            <v>39926</v>
          </cell>
        </row>
        <row r="2036">
          <cell r="A2036">
            <v>39927</v>
          </cell>
        </row>
        <row r="2037">
          <cell r="A2037">
            <v>39928</v>
          </cell>
        </row>
        <row r="2038">
          <cell r="A2038">
            <v>39929</v>
          </cell>
        </row>
        <row r="2039">
          <cell r="A2039">
            <v>39930</v>
          </cell>
        </row>
        <row r="2040">
          <cell r="A2040">
            <v>39931</v>
          </cell>
        </row>
        <row r="2041">
          <cell r="A2041">
            <v>39932</v>
          </cell>
        </row>
        <row r="2042">
          <cell r="A2042">
            <v>39933</v>
          </cell>
        </row>
        <row r="2043">
          <cell r="A2043">
            <v>39934</v>
          </cell>
        </row>
        <row r="2044">
          <cell r="A2044">
            <v>39935</v>
          </cell>
        </row>
        <row r="2045">
          <cell r="A2045">
            <v>39936</v>
          </cell>
        </row>
        <row r="2046">
          <cell r="A2046">
            <v>39937</v>
          </cell>
        </row>
        <row r="2047">
          <cell r="A2047">
            <v>39938</v>
          </cell>
        </row>
        <row r="2048">
          <cell r="A2048">
            <v>39939</v>
          </cell>
        </row>
        <row r="2049">
          <cell r="A2049">
            <v>39940</v>
          </cell>
        </row>
        <row r="2050">
          <cell r="A2050">
            <v>39941</v>
          </cell>
        </row>
        <row r="2051">
          <cell r="A2051">
            <v>39942</v>
          </cell>
        </row>
        <row r="2052">
          <cell r="A2052">
            <v>39943</v>
          </cell>
        </row>
        <row r="2053">
          <cell r="A2053">
            <v>39944</v>
          </cell>
        </row>
        <row r="2054">
          <cell r="A2054">
            <v>39945</v>
          </cell>
        </row>
        <row r="2055">
          <cell r="A2055">
            <v>39946</v>
          </cell>
        </row>
        <row r="2056">
          <cell r="A2056">
            <v>39947</v>
          </cell>
        </row>
        <row r="2057">
          <cell r="A2057">
            <v>39948</v>
          </cell>
        </row>
        <row r="2058">
          <cell r="A2058">
            <v>39949</v>
          </cell>
        </row>
        <row r="2059">
          <cell r="A2059">
            <v>39950</v>
          </cell>
        </row>
        <row r="2060">
          <cell r="A2060">
            <v>39951</v>
          </cell>
        </row>
        <row r="2061">
          <cell r="A2061">
            <v>39952</v>
          </cell>
        </row>
        <row r="2062">
          <cell r="A2062">
            <v>39953</v>
          </cell>
        </row>
        <row r="2063">
          <cell r="A2063">
            <v>39954</v>
          </cell>
        </row>
        <row r="2064">
          <cell r="A2064">
            <v>39955</v>
          </cell>
        </row>
        <row r="2065">
          <cell r="A2065">
            <v>39956</v>
          </cell>
        </row>
        <row r="2066">
          <cell r="A2066">
            <v>39957</v>
          </cell>
        </row>
        <row r="2067">
          <cell r="A2067">
            <v>39958</v>
          </cell>
        </row>
        <row r="2068">
          <cell r="A2068">
            <v>39959</v>
          </cell>
        </row>
        <row r="2069">
          <cell r="A2069">
            <v>39960</v>
          </cell>
        </row>
        <row r="2070">
          <cell r="A2070">
            <v>39961</v>
          </cell>
        </row>
        <row r="2071">
          <cell r="A2071">
            <v>39962</v>
          </cell>
        </row>
        <row r="2072">
          <cell r="A2072">
            <v>39963</v>
          </cell>
        </row>
        <row r="2073">
          <cell r="A2073">
            <v>39964</v>
          </cell>
        </row>
        <row r="2074">
          <cell r="A2074">
            <v>39965</v>
          </cell>
        </row>
        <row r="2075">
          <cell r="A2075">
            <v>39966</v>
          </cell>
        </row>
        <row r="2076">
          <cell r="A2076">
            <v>39967</v>
          </cell>
        </row>
        <row r="2077">
          <cell r="A2077">
            <v>39968</v>
          </cell>
        </row>
        <row r="2078">
          <cell r="A2078">
            <v>39969</v>
          </cell>
        </row>
        <row r="2079">
          <cell r="A2079">
            <v>39970</v>
          </cell>
        </row>
        <row r="2080">
          <cell r="A2080">
            <v>39971</v>
          </cell>
        </row>
        <row r="2081">
          <cell r="A2081">
            <v>39972</v>
          </cell>
        </row>
        <row r="2082">
          <cell r="A2082">
            <v>39973</v>
          </cell>
        </row>
        <row r="2083">
          <cell r="A2083">
            <v>39974</v>
          </cell>
        </row>
        <row r="2084">
          <cell r="A2084">
            <v>39975</v>
          </cell>
        </row>
        <row r="2085">
          <cell r="A2085">
            <v>39976</v>
          </cell>
        </row>
        <row r="2086">
          <cell r="A2086">
            <v>39977</v>
          </cell>
        </row>
        <row r="2087">
          <cell r="A2087">
            <v>39978</v>
          </cell>
        </row>
        <row r="2088">
          <cell r="A2088">
            <v>39979</v>
          </cell>
        </row>
        <row r="2089">
          <cell r="A2089">
            <v>39980</v>
          </cell>
        </row>
        <row r="2090">
          <cell r="A2090">
            <v>39981</v>
          </cell>
        </row>
        <row r="2091">
          <cell r="A2091">
            <v>39982</v>
          </cell>
        </row>
        <row r="2092">
          <cell r="A2092">
            <v>39983</v>
          </cell>
        </row>
        <row r="2093">
          <cell r="A2093">
            <v>39984</v>
          </cell>
        </row>
        <row r="2094">
          <cell r="A2094">
            <v>39985</v>
          </cell>
        </row>
        <row r="2095">
          <cell r="A2095">
            <v>39986</v>
          </cell>
        </row>
        <row r="2096">
          <cell r="A2096">
            <v>39987</v>
          </cell>
        </row>
        <row r="2097">
          <cell r="A2097">
            <v>39988</v>
          </cell>
        </row>
        <row r="2098">
          <cell r="A2098">
            <v>39989</v>
          </cell>
        </row>
        <row r="2099">
          <cell r="A2099">
            <v>39990</v>
          </cell>
        </row>
        <row r="2100">
          <cell r="A2100">
            <v>39991</v>
          </cell>
        </row>
        <row r="2101">
          <cell r="A2101">
            <v>39992</v>
          </cell>
        </row>
        <row r="2102">
          <cell r="A2102">
            <v>39993</v>
          </cell>
        </row>
        <row r="2103">
          <cell r="A2103">
            <v>39994</v>
          </cell>
        </row>
        <row r="2104">
          <cell r="A2104">
            <v>39995</v>
          </cell>
        </row>
        <row r="2105">
          <cell r="A2105">
            <v>39996</v>
          </cell>
        </row>
        <row r="2106">
          <cell r="A2106">
            <v>39997</v>
          </cell>
        </row>
        <row r="2107">
          <cell r="A2107">
            <v>39998</v>
          </cell>
        </row>
        <row r="2108">
          <cell r="A2108">
            <v>39999</v>
          </cell>
        </row>
        <row r="2109">
          <cell r="A2109">
            <v>40000</v>
          </cell>
        </row>
        <row r="2110">
          <cell r="A2110">
            <v>40001</v>
          </cell>
        </row>
        <row r="2111">
          <cell r="A2111">
            <v>40002</v>
          </cell>
        </row>
        <row r="2112">
          <cell r="A2112">
            <v>40003</v>
          </cell>
        </row>
      </sheetData>
      <sheetData sheetId="43" refreshError="1">
        <row r="3">
          <cell r="A3" t="str">
            <v>Выкуп земли</v>
          </cell>
        </row>
        <row r="4">
          <cell r="A4" t="str">
            <v>Выкуп земельных участков (120+740 кв.м)</v>
          </cell>
        </row>
        <row r="5">
          <cell r="A5" t="str">
            <v>Правоустанавливающие документы</v>
          </cell>
        </row>
        <row r="6">
          <cell r="A6" t="str">
            <v>Технический заказчик</v>
          </cell>
        </row>
        <row r="7">
          <cell r="A7" t="str">
            <v>Проектирование домов</v>
          </cell>
        </row>
        <row r="8">
          <cell r="A8" t="str">
            <v>Ген.проектирование и согласование</v>
          </cell>
        </row>
        <row r="9">
          <cell r="A9" t="str">
            <v>Реклама и маркетинг</v>
          </cell>
        </row>
        <row r="10">
          <cell r="A10" t="str">
            <v>Налоги и управленческие расходы</v>
          </cell>
        </row>
        <row r="11">
          <cell r="A11" t="str">
            <v>Авансирование работ СМР</v>
          </cell>
        </row>
        <row r="12">
          <cell r="A12" t="str">
            <v>Авансирование за счет средств ЗАО "РСЭ-М"</v>
          </cell>
        </row>
        <row r="13">
          <cell r="A13" t="str">
            <v>Иные расходы</v>
          </cell>
        </row>
        <row r="14">
          <cell r="A14" t="str">
            <v>Геодезич.работы</v>
          </cell>
        </row>
        <row r="15">
          <cell r="A15" t="str">
            <v>Авторский надзор</v>
          </cell>
        </row>
        <row r="16">
          <cell r="A16" t="str">
            <v>Возврат основной суммы долга</v>
          </cell>
        </row>
        <row r="17">
          <cell r="A17" t="str">
            <v>Проценты по кредитам/займам</v>
          </cell>
        </row>
        <row r="18">
          <cell r="A18" t="str">
            <v>Комиссия за невыборку</v>
          </cell>
        </row>
        <row r="19">
          <cell r="A19" t="str">
            <v>Покупка валюты</v>
          </cell>
        </row>
        <row r="20">
          <cell r="A20" t="str">
            <v>Охранные услуги</v>
          </cell>
        </row>
        <row r="21">
          <cell r="A21" t="str">
            <v>Возврат займа ГПБ</v>
          </cell>
        </row>
        <row r="22">
          <cell r="A22" t="str">
            <v>Возврат займов ЗАО "РСЭ-М"</v>
          </cell>
        </row>
        <row r="23">
          <cell r="A23" t="str">
            <v>Займ в пользу ГПБИ</v>
          </cell>
        </row>
        <row r="24">
          <cell r="A24" t="str">
            <v>Инвестиционный договор с ООО "ГПБИ"</v>
          </cell>
        </row>
        <row r="25">
          <cell r="A25" t="str">
            <v>Займ ГПБИ</v>
          </cell>
        </row>
        <row r="26">
          <cell r="A26" t="str">
            <v>Займ ЗАО "РСЭ-М"</v>
          </cell>
        </row>
        <row r="27">
          <cell r="A27" t="str">
            <v>Прочие поступления (возврат авансов, налогов, прочие)</v>
          </cell>
        </row>
        <row r="28">
          <cell r="A28" t="str">
            <v>Возврат авансов СМР</v>
          </cell>
        </row>
        <row r="29">
          <cell r="A29" t="str">
            <v>Возврат авансов ЗАО РСМ</v>
          </cell>
        </row>
        <row r="30">
          <cell r="A30" t="str">
            <v>Кредит "Эксимбанка"</v>
          </cell>
        </row>
        <row r="31">
          <cell r="A31" t="str">
            <v>Реализация домовладений</v>
          </cell>
        </row>
        <row r="40">
          <cell r="A40" t="str">
            <v xml:space="preserve"> Капитальные вложения Харкона</v>
          </cell>
        </row>
        <row r="41">
          <cell r="A41" t="str">
            <v>Страховой взнос кредита</v>
          </cell>
        </row>
        <row r="42">
          <cell r="A42" t="str">
            <v>Планировка территории</v>
          </cell>
        </row>
        <row r="43">
          <cell r="A43" t="str">
            <v>Перенос колодца водопровода</v>
          </cell>
        </row>
        <row r="44">
          <cell r="A44" t="str">
            <v>Вынос кабеля Ростелекома</v>
          </cell>
        </row>
        <row r="45">
          <cell r="A45" t="str">
            <v>Забор/Входная группа</v>
          </cell>
        </row>
        <row r="46">
          <cell r="A46" t="str">
            <v>Временная дорога</v>
          </cell>
        </row>
        <row r="47">
          <cell r="A47" t="str">
            <v>Инженерные сети</v>
          </cell>
        </row>
        <row r="48">
          <cell r="A48" t="str">
            <v>Электроснабжение</v>
          </cell>
        </row>
        <row r="49">
          <cell r="A49" t="str">
            <v>слаботочная канализация</v>
          </cell>
        </row>
        <row r="50">
          <cell r="A50" t="str">
            <v>Оплата Балитэкс за сети (1000 кВа)</v>
          </cell>
        </row>
        <row r="51">
          <cell r="A51" t="str">
            <v>ГАЗ</v>
          </cell>
        </row>
        <row r="52">
          <cell r="A52" t="str">
            <v>строительство КНС</v>
          </cell>
        </row>
        <row r="53">
          <cell r="A53" t="str">
            <v>очистные сооружения</v>
          </cell>
        </row>
        <row r="54">
          <cell r="A54" t="str">
            <v>Строительство домов</v>
          </cell>
        </row>
        <row r="55">
          <cell r="A55" t="str">
            <v>Инженерия домов</v>
          </cell>
        </row>
        <row r="56">
          <cell r="A56" t="str">
            <v>остекление, окна</v>
          </cell>
        </row>
        <row r="57">
          <cell r="A57" t="str">
            <v>Материалы:</v>
          </cell>
        </row>
        <row r="58">
          <cell r="A58" t="str">
            <v>Охранные услуги</v>
          </cell>
        </row>
        <row r="59">
          <cell r="A59" t="str">
            <v>Э/энергия</v>
          </cell>
        </row>
        <row r="60">
          <cell r="A60" t="str">
            <v>Благоустройство</v>
          </cell>
        </row>
        <row r="61">
          <cell r="A61" t="str">
            <v>площадка складирования и под городок.</v>
          </cell>
        </row>
        <row r="62">
          <cell r="A62" t="str">
            <v>Мобилизация</v>
          </cell>
        </row>
        <row r="63">
          <cell r="A63" t="str">
            <v>Иные услуги</v>
          </cell>
        </row>
        <row r="64">
          <cell r="A64" t="str">
            <v>Оплата генподрядчика</v>
          </cell>
        </row>
        <row r="65">
          <cell r="A65" t="str">
            <v>Кредит "Эксимбанка"</v>
          </cell>
        </row>
        <row r="66">
          <cell r="A66" t="str">
            <v>Учет аванса</v>
          </cell>
        </row>
        <row r="72">
          <cell r="A72" t="str">
            <v>НП "ЛИОН"</v>
          </cell>
        </row>
        <row r="73">
          <cell r="A73" t="str">
            <v>Налоги и управленческие расходы</v>
          </cell>
        </row>
        <row r="74">
          <cell r="A74" t="str">
            <v>Оплата за 30% долей БАЛИТЭКС</v>
          </cell>
        </row>
        <row r="75">
          <cell r="A75" t="str">
            <v>Взнос участников</v>
          </cell>
        </row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</v>
          </cell>
        </row>
        <row r="88">
          <cell r="A88" t="str">
            <v>Займы Эксперту и Балитексу</v>
          </cell>
        </row>
        <row r="89">
          <cell r="A89" t="str">
            <v>реализация домовладений</v>
          </cell>
        </row>
        <row r="90">
          <cell r="A90" t="str">
            <v>Оплата  за 30% долей БАЛИТЭКС"</v>
          </cell>
        </row>
        <row r="91">
          <cell r="A91" t="str">
            <v>Возврат займов Балитекс и Эксперт</v>
          </cell>
        </row>
        <row r="92">
          <cell r="A92" t="str">
            <v>Займы от Эксперта</v>
          </cell>
        </row>
        <row r="93">
          <cell r="A93" t="str">
            <v>Погашение векселя от Балитэкс</v>
          </cell>
        </row>
        <row r="100">
          <cell r="A100" t="str">
            <v>Расходы на подключение  к инфраструктуре</v>
          </cell>
        </row>
        <row r="101">
          <cell r="A101" t="str">
            <v>Возврат займов (РСЭМ, Стройэкспо, ГПБИ)</v>
          </cell>
        </row>
        <row r="102">
          <cell r="A102" t="str">
            <v>Оплата за выполненные работы</v>
          </cell>
        </row>
        <row r="103">
          <cell r="A103" t="str">
            <v>Получение займов (РСЭМ, Стройэкспо, ГПБИ)</v>
          </cell>
        </row>
        <row r="104">
          <cell r="A104" t="str">
            <v>Увеличение УК от GPBI</v>
          </cell>
        </row>
        <row r="105">
          <cell r="A105" t="str">
            <v>Погашение векселя, купленного ГПБИ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Оборудование физ износ"/>
      <sheetName val="Расчет накопленного износа"/>
      <sheetName val="Сравнительный подход"/>
      <sheetName val="Согласование"/>
      <sheetName val="Лист3"/>
      <sheetName val="Работы"/>
      <sheetName val="Лист1"/>
      <sheetName val="Лист4"/>
      <sheetName val="Sheet1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B7">
            <v>38991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износ"/>
      <sheetName val="рын"/>
      <sheetName val="индекс пересчета"/>
      <sheetName val="перечень арендуемого оборуд-я"/>
    </sheetNames>
    <sheetDataSet>
      <sheetData sheetId="0"/>
      <sheetData sheetId="1">
        <row r="1">
          <cell r="A1" t="str">
            <v>№ п/п</v>
          </cell>
          <cell r="B1" t="str">
            <v>Наименование</v>
          </cell>
          <cell r="C1" t="str">
            <v xml:space="preserve">Год ввода </v>
          </cell>
          <cell r="D1" t="str">
            <v>Физический износ, %</v>
          </cell>
        </row>
        <row r="2">
          <cell r="A2">
            <v>1</v>
          </cell>
          <cell r="B2" t="str">
            <v>Газовая котельная большая производственная</v>
          </cell>
          <cell r="C2">
            <v>2001</v>
          </cell>
          <cell r="D2">
            <v>15</v>
          </cell>
        </row>
        <row r="3">
          <cell r="A3">
            <v>2</v>
          </cell>
          <cell r="B3" t="str">
            <v>Газовая котельная малая административная</v>
          </cell>
          <cell r="C3">
            <v>2001</v>
          </cell>
          <cell r="D3">
            <v>15</v>
          </cell>
        </row>
        <row r="4">
          <cell r="A4">
            <v>3</v>
          </cell>
          <cell r="B4" t="str">
            <v>Капитальные вложения в арендованные здания</v>
          </cell>
          <cell r="C4" t="str">
            <v>2003-2004</v>
          </cell>
          <cell r="D4">
            <v>5</v>
          </cell>
        </row>
        <row r="5">
          <cell r="A5">
            <v>4</v>
          </cell>
          <cell r="B5" t="str">
            <v>Цифровая телефонная станция, в т.ч.:</v>
          </cell>
          <cell r="C5">
            <v>2004</v>
          </cell>
          <cell r="D5">
            <v>5</v>
          </cell>
        </row>
        <row r="6">
          <cell r="B6" t="str">
            <v>монтажный адаптер</v>
          </cell>
        </row>
        <row r="7">
          <cell r="B7" t="str">
            <v>скоба монтажная на 11 посадочных мест</v>
          </cell>
        </row>
        <row r="8">
          <cell r="B8" t="str">
            <v>плинт 10*2 с разрывным контактом (Интеркросс)</v>
          </cell>
        </row>
        <row r="9">
          <cell r="B9" t="str">
            <v>LDK-300 Basic-базовый блок (9 платомест, МРВ, PMU, AC/DC, RGU)</v>
          </cell>
        </row>
        <row r="10">
          <cell r="B10" t="str">
            <v>LDK-300 SLIB 2E-плата на 12 стандартных телефонов</v>
          </cell>
        </row>
        <row r="11">
          <cell r="B11" t="str">
            <v>LDK-300 DTIB 12-плата на 12 цифровых телефонов</v>
          </cell>
        </row>
        <row r="12">
          <cell r="B12" t="str">
            <v>LDK-300 LCOB 8-плата на 8 городских линий</v>
          </cell>
        </row>
        <row r="13">
          <cell r="B13" t="str">
            <v>LKD-30D-цифровой телефон на 30 программируемых кнопок с дисплеем</v>
          </cell>
        </row>
        <row r="14">
          <cell r="B14" t="str">
            <v>LKD-30LD-цифровой телефон на 30 программируемых кнопок с большим дисплеем</v>
          </cell>
        </row>
        <row r="15">
          <cell r="B15" t="str">
            <v>LKD-DSS-консоль расширеная на 48 кнопок</v>
          </cell>
        </row>
        <row r="16">
          <cell r="B16" t="str">
            <v>INST KIT 25-монтажный комплекс (25-портовый)</v>
          </cell>
        </row>
        <row r="17">
          <cell r="A17">
            <v>5</v>
          </cell>
          <cell r="B17" t="str">
            <v>Забор 400мм</v>
          </cell>
          <cell r="C17">
            <v>1967</v>
          </cell>
          <cell r="D17">
            <v>65</v>
          </cell>
        </row>
        <row r="18">
          <cell r="A18">
            <v>6</v>
          </cell>
          <cell r="B18" t="str">
            <v>Металлические ворота</v>
          </cell>
          <cell r="C18">
            <v>2002</v>
          </cell>
          <cell r="D18">
            <v>10</v>
          </cell>
        </row>
        <row r="19">
          <cell r="A19">
            <v>7</v>
          </cell>
          <cell r="B19" t="str">
            <v>Камера с гидрофильтром</v>
          </cell>
          <cell r="C19">
            <v>1986</v>
          </cell>
          <cell r="D19">
            <v>45</v>
          </cell>
        </row>
        <row r="20">
          <cell r="A20">
            <v>8</v>
          </cell>
          <cell r="B20" t="str">
            <v>Трубозакатный автомат ОД-45</v>
          </cell>
          <cell r="C20">
            <v>1990</v>
          </cell>
          <cell r="D20">
            <v>35</v>
          </cell>
        </row>
        <row r="21">
          <cell r="A21">
            <v>9</v>
          </cell>
          <cell r="B21" t="str">
            <v>Ванна капиллярного лужения</v>
          </cell>
          <cell r="C21">
            <v>1990</v>
          </cell>
          <cell r="D21">
            <v>35</v>
          </cell>
        </row>
        <row r="22">
          <cell r="A22">
            <v>10</v>
          </cell>
          <cell r="B22" t="str">
            <v>Полуавтоматический стенд сборки</v>
          </cell>
          <cell r="C22">
            <v>1976</v>
          </cell>
          <cell r="D22">
            <v>55</v>
          </cell>
        </row>
        <row r="23">
          <cell r="A23">
            <v>11</v>
          </cell>
          <cell r="B23" t="str">
            <v>Полуавтоматический стенд сборки</v>
          </cell>
          <cell r="C23">
            <v>1977</v>
          </cell>
          <cell r="D23">
            <v>55</v>
          </cell>
        </row>
        <row r="24">
          <cell r="A24">
            <v>12</v>
          </cell>
          <cell r="B24" t="str">
            <v>Автомат сборки ОД-52</v>
          </cell>
          <cell r="C24">
            <v>1990</v>
          </cell>
          <cell r="D24">
            <v>35</v>
          </cell>
        </row>
        <row r="25">
          <cell r="A25">
            <v>13</v>
          </cell>
          <cell r="B25" t="str">
            <v>Автомат сборки ОД-52</v>
          </cell>
          <cell r="C25">
            <v>1986</v>
          </cell>
          <cell r="D25">
            <v>45</v>
          </cell>
        </row>
        <row r="26">
          <cell r="A26">
            <v>14</v>
          </cell>
          <cell r="B26" t="str">
            <v>Автомат сборки ОД-52</v>
          </cell>
          <cell r="C26">
            <v>1990</v>
          </cell>
          <cell r="D26">
            <v>35</v>
          </cell>
        </row>
        <row r="27">
          <cell r="A27">
            <v>15</v>
          </cell>
          <cell r="B27" t="str">
            <v>Пресс кривошипный</v>
          </cell>
          <cell r="C27">
            <v>1959</v>
          </cell>
          <cell r="D27">
            <v>75</v>
          </cell>
        </row>
        <row r="28">
          <cell r="A28">
            <v>16</v>
          </cell>
          <cell r="B28" t="str">
            <v>Вентиляторы ВЦ-14-46-8Л                  (2 шт.)</v>
          </cell>
          <cell r="C28">
            <v>2002</v>
          </cell>
          <cell r="D28">
            <v>10</v>
          </cell>
        </row>
        <row r="29">
          <cell r="A29">
            <v>17</v>
          </cell>
          <cell r="B29" t="str">
            <v>Печь НК 12-10 6/4</v>
          </cell>
          <cell r="C29">
            <v>2002</v>
          </cell>
          <cell r="D29">
            <v>10</v>
          </cell>
        </row>
        <row r="30">
          <cell r="A30">
            <v>18</v>
          </cell>
          <cell r="B30" t="str">
            <v>Кран мостовой</v>
          </cell>
          <cell r="C30">
            <v>1989</v>
          </cell>
          <cell r="D30">
            <v>40</v>
          </cell>
        </row>
        <row r="31">
          <cell r="A31">
            <v>19</v>
          </cell>
          <cell r="B31" t="str">
            <v>Кран мостовой однобалочный</v>
          </cell>
          <cell r="C31">
            <v>1987</v>
          </cell>
          <cell r="D31">
            <v>45</v>
          </cell>
        </row>
        <row r="32">
          <cell r="A32">
            <v>20</v>
          </cell>
          <cell r="B32" t="str">
            <v>Кран мостовой однобалочный</v>
          </cell>
          <cell r="C32">
            <v>1959</v>
          </cell>
          <cell r="D32">
            <v>75</v>
          </cell>
        </row>
        <row r="33">
          <cell r="A33">
            <v>21</v>
          </cell>
          <cell r="B33" t="str">
            <v>Станок универсальный фрезерный</v>
          </cell>
          <cell r="C33">
            <v>1985</v>
          </cell>
          <cell r="D33">
            <v>45</v>
          </cell>
        </row>
        <row r="34">
          <cell r="A34">
            <v>22</v>
          </cell>
          <cell r="B34" t="str">
            <v>Консольно-фрезерный станок</v>
          </cell>
          <cell r="C34">
            <v>1979</v>
          </cell>
          <cell r="D34">
            <v>55</v>
          </cell>
        </row>
        <row r="35">
          <cell r="A35">
            <v>23</v>
          </cell>
          <cell r="B35" t="str">
            <v>Вертикально-фрезерный станок</v>
          </cell>
          <cell r="C35">
            <v>1991</v>
          </cell>
          <cell r="D35">
            <v>35</v>
          </cell>
        </row>
        <row r="36">
          <cell r="A36">
            <v>24</v>
          </cell>
          <cell r="B36" t="str">
            <v>Фрезерный станок</v>
          </cell>
          <cell r="C36">
            <v>1990</v>
          </cell>
          <cell r="D36">
            <v>35</v>
          </cell>
        </row>
        <row r="37">
          <cell r="A37">
            <v>25</v>
          </cell>
          <cell r="B37" t="str">
            <v>Универсально заточный станок</v>
          </cell>
          <cell r="C37">
            <v>1976</v>
          </cell>
          <cell r="D37">
            <v>55</v>
          </cell>
        </row>
        <row r="38">
          <cell r="A38">
            <v>26</v>
          </cell>
          <cell r="B38" t="str">
            <v>Токарно-винторезный станок               1к 625</v>
          </cell>
          <cell r="C38">
            <v>1971</v>
          </cell>
          <cell r="D38">
            <v>60</v>
          </cell>
        </row>
        <row r="39">
          <cell r="A39">
            <v>27</v>
          </cell>
          <cell r="B39" t="str">
            <v>Токарно-винторезный станок               1к 625</v>
          </cell>
          <cell r="C39">
            <v>2000</v>
          </cell>
          <cell r="D39">
            <v>20</v>
          </cell>
        </row>
        <row r="40">
          <cell r="A40">
            <v>28</v>
          </cell>
          <cell r="B40" t="str">
            <v>Линия мойки деталей</v>
          </cell>
          <cell r="C40">
            <v>1963</v>
          </cell>
          <cell r="D40">
            <v>70</v>
          </cell>
        </row>
        <row r="41">
          <cell r="A41">
            <v>29</v>
          </cell>
          <cell r="B41" t="str">
            <v>Правильно-размоточная машина</v>
          </cell>
          <cell r="C41">
            <v>1982</v>
          </cell>
          <cell r="D41">
            <v>50</v>
          </cell>
        </row>
        <row r="42">
          <cell r="A42">
            <v>30</v>
          </cell>
          <cell r="B42" t="str">
            <v>Ножницы листовые</v>
          </cell>
          <cell r="C42">
            <v>1966</v>
          </cell>
          <cell r="D42">
            <v>65</v>
          </cell>
        </row>
        <row r="43">
          <cell r="A43">
            <v>31</v>
          </cell>
          <cell r="B43" t="str">
            <v>Ножницы листовые</v>
          </cell>
          <cell r="C43">
            <v>1985</v>
          </cell>
          <cell r="D43">
            <v>45</v>
          </cell>
        </row>
        <row r="44">
          <cell r="A44">
            <v>32</v>
          </cell>
          <cell r="B44" t="str">
            <v>Сварочный полуавтомат            ПДГ-403</v>
          </cell>
          <cell r="C44">
            <v>2000</v>
          </cell>
          <cell r="D44">
            <v>20</v>
          </cell>
        </row>
        <row r="45">
          <cell r="A45">
            <v>33</v>
          </cell>
          <cell r="B45" t="str">
            <v>Пресс однокривошипный 40тн</v>
          </cell>
          <cell r="C45">
            <v>1974</v>
          </cell>
          <cell r="D45">
            <v>60</v>
          </cell>
        </row>
        <row r="46">
          <cell r="A46">
            <v>34</v>
          </cell>
          <cell r="B46" t="str">
            <v>Пресс 2-х кривошипный                мод. 3732 160тн</v>
          </cell>
          <cell r="C46">
            <v>1976</v>
          </cell>
          <cell r="D46">
            <v>55</v>
          </cell>
        </row>
        <row r="47">
          <cell r="A47">
            <v>35</v>
          </cell>
          <cell r="B47" t="str">
            <v>Пресс 2-х кривошипный                мод. 353 4А</v>
          </cell>
          <cell r="C47">
            <v>1983</v>
          </cell>
          <cell r="D47">
            <v>50</v>
          </cell>
        </row>
        <row r="48">
          <cell r="A48">
            <v>36</v>
          </cell>
          <cell r="B48" t="str">
            <v>Пресс 2-х кривошипный  ус. 500 тн</v>
          </cell>
          <cell r="C48">
            <v>1982</v>
          </cell>
          <cell r="D48">
            <v>50</v>
          </cell>
        </row>
        <row r="49">
          <cell r="A49">
            <v>37</v>
          </cell>
          <cell r="B49" t="str">
            <v>Пресс 2-х кривошипный  800 тн</v>
          </cell>
          <cell r="C49">
            <v>1959</v>
          </cell>
          <cell r="D49">
            <v>75</v>
          </cell>
        </row>
        <row r="50">
          <cell r="A50">
            <v>38</v>
          </cell>
          <cell r="B50" t="str">
            <v>Плоскошлифовальный станок</v>
          </cell>
          <cell r="C50">
            <v>1993</v>
          </cell>
          <cell r="D50">
            <v>35</v>
          </cell>
        </row>
        <row r="51">
          <cell r="A51">
            <v>39</v>
          </cell>
          <cell r="B51" t="str">
            <v>Пресс механический КЕ 2130А</v>
          </cell>
          <cell r="C51">
            <v>2001</v>
          </cell>
          <cell r="D51">
            <v>15</v>
          </cell>
        </row>
        <row r="52">
          <cell r="A52">
            <v>40</v>
          </cell>
          <cell r="B52" t="str">
            <v>Шкаф вытяжной</v>
          </cell>
          <cell r="C52">
            <v>2003</v>
          </cell>
          <cell r="D52">
            <v>10</v>
          </cell>
        </row>
        <row r="53">
          <cell r="A53">
            <v>41</v>
          </cell>
          <cell r="B53" t="str">
            <v>Сварочный аппарат "Модуль-250"</v>
          </cell>
          <cell r="C53">
            <v>2004</v>
          </cell>
          <cell r="D53">
            <v>5</v>
          </cell>
        </row>
        <row r="54">
          <cell r="A54">
            <v>42</v>
          </cell>
          <cell r="B54" t="str">
            <v>Трансформатор силовой</v>
          </cell>
          <cell r="C54">
            <v>1971</v>
          </cell>
          <cell r="D54">
            <v>60</v>
          </cell>
        </row>
        <row r="55">
          <cell r="A55">
            <v>43</v>
          </cell>
          <cell r="B55" t="str">
            <v>Измерительное устройство</v>
          </cell>
          <cell r="C55">
            <v>1982</v>
          </cell>
          <cell r="D55">
            <v>50</v>
          </cell>
        </row>
        <row r="56">
          <cell r="A56">
            <v>44</v>
          </cell>
          <cell r="B56" t="str">
            <v>Компрессор объемный роторный Б:БА75 AFF-7,5 (2 шт.)</v>
          </cell>
          <cell r="C56">
            <v>2002</v>
          </cell>
          <cell r="D56">
            <v>10</v>
          </cell>
        </row>
        <row r="57">
          <cell r="A57">
            <v>45</v>
          </cell>
          <cell r="B57" t="str">
            <v>Ресивер воздушный вертикальный LV911 CE (5 шт.)</v>
          </cell>
          <cell r="C57">
            <v>2002</v>
          </cell>
          <cell r="D57">
            <v>10</v>
          </cell>
        </row>
        <row r="58">
          <cell r="A58">
            <v>46</v>
          </cell>
          <cell r="B58" t="str">
            <v>Электронагреватель (2 шт.)</v>
          </cell>
          <cell r="C58">
            <v>2004</v>
          </cell>
          <cell r="D58">
            <v>5</v>
          </cell>
        </row>
        <row r="59">
          <cell r="A59">
            <v>47</v>
          </cell>
          <cell r="B59" t="str">
            <v>Копировальный аппарат Ricon FT-4615</v>
          </cell>
          <cell r="C59">
            <v>2000</v>
          </cell>
          <cell r="D59">
            <v>20</v>
          </cell>
        </row>
        <row r="60">
          <cell r="A60">
            <v>48</v>
          </cell>
          <cell r="B60" t="str">
            <v>Компьютеры, в т.ч.</v>
          </cell>
        </row>
        <row r="61">
          <cell r="B61" t="str">
            <v>Celeron 466</v>
          </cell>
          <cell r="C61">
            <v>2000</v>
          </cell>
          <cell r="D61">
            <v>20</v>
          </cell>
        </row>
        <row r="62">
          <cell r="B62" t="str">
            <v>Cnrintel</v>
          </cell>
          <cell r="C62">
            <v>2001</v>
          </cell>
          <cell r="D62">
            <v>15</v>
          </cell>
        </row>
        <row r="63">
          <cell r="B63" t="str">
            <v>Packard Bell</v>
          </cell>
          <cell r="C63">
            <v>2001</v>
          </cell>
          <cell r="D63">
            <v>15</v>
          </cell>
        </row>
        <row r="64">
          <cell r="B64" t="str">
            <v xml:space="preserve">Celeron </v>
          </cell>
          <cell r="C64">
            <v>2000</v>
          </cell>
          <cell r="D64">
            <v>20</v>
          </cell>
        </row>
        <row r="65">
          <cell r="B65" t="str">
            <v xml:space="preserve">Celeron </v>
          </cell>
          <cell r="C65">
            <v>2001</v>
          </cell>
          <cell r="D65">
            <v>15</v>
          </cell>
        </row>
        <row r="66">
          <cell r="B66" t="str">
            <v>Монитор 15"LCD с системным блоком</v>
          </cell>
          <cell r="C66">
            <v>2003</v>
          </cell>
          <cell r="D66">
            <v>10</v>
          </cell>
        </row>
        <row r="67">
          <cell r="B67" t="str">
            <v>Монитор 15"Samsung</v>
          </cell>
          <cell r="C67">
            <v>2001</v>
          </cell>
          <cell r="D67">
            <v>15</v>
          </cell>
        </row>
        <row r="68">
          <cell r="B68" t="str">
            <v>Принтер струйный (2 шт.)</v>
          </cell>
          <cell r="C68">
            <v>2000</v>
          </cell>
          <cell r="D68">
            <v>20</v>
          </cell>
        </row>
        <row r="69">
          <cell r="B69" t="str">
            <v>Сеть компьютерная</v>
          </cell>
          <cell r="C69">
            <v>2001</v>
          </cell>
          <cell r="D69">
            <v>15</v>
          </cell>
        </row>
        <row r="70">
          <cell r="A70">
            <v>49</v>
          </cell>
          <cell r="B70" t="str">
            <v>Системный блок</v>
          </cell>
          <cell r="C70">
            <v>2003</v>
          </cell>
          <cell r="D70">
            <v>10</v>
          </cell>
        </row>
        <row r="71">
          <cell r="A71">
            <v>50</v>
          </cell>
          <cell r="B71" t="str">
            <v>Прицеп автомобильный</v>
          </cell>
          <cell r="C71">
            <v>1995</v>
          </cell>
          <cell r="D71">
            <v>30</v>
          </cell>
        </row>
        <row r="72">
          <cell r="A72">
            <v>51</v>
          </cell>
          <cell r="B72" t="str">
            <v>Автомашина КАМАЗ 5320</v>
          </cell>
          <cell r="C72">
            <v>1991</v>
          </cell>
          <cell r="D72">
            <v>93.769744457512274</v>
          </cell>
        </row>
        <row r="73">
          <cell r="A73">
            <v>52</v>
          </cell>
          <cell r="B73" t="str">
            <v>Автомашина КАМАЗ 55111</v>
          </cell>
          <cell r="C73">
            <v>1991</v>
          </cell>
          <cell r="D73">
            <v>89.837277798465635</v>
          </cell>
        </row>
        <row r="74">
          <cell r="A74">
            <v>53</v>
          </cell>
          <cell r="B74" t="str">
            <v>Автомобиль ЗИЛ 5301АО</v>
          </cell>
          <cell r="C74">
            <v>2001</v>
          </cell>
          <cell r="D74">
            <v>53.535612188003924</v>
          </cell>
        </row>
        <row r="75">
          <cell r="A75">
            <v>54</v>
          </cell>
          <cell r="B75" t="str">
            <v>Трактор МТЗ-80</v>
          </cell>
          <cell r="C75">
            <v>1988</v>
          </cell>
          <cell r="D75">
            <v>40</v>
          </cell>
        </row>
        <row r="76">
          <cell r="A76">
            <v>55</v>
          </cell>
          <cell r="B76" t="str">
            <v>Автопогрузчик 4045</v>
          </cell>
          <cell r="C76">
            <v>1989</v>
          </cell>
          <cell r="D76">
            <v>40</v>
          </cell>
        </row>
        <row r="77">
          <cell r="A77">
            <v>56</v>
          </cell>
          <cell r="B77" t="str">
            <v>Автопогрузчик 4043</v>
          </cell>
          <cell r="C77">
            <v>2001</v>
          </cell>
          <cell r="D77">
            <v>15</v>
          </cell>
        </row>
        <row r="78">
          <cell r="A78">
            <v>57</v>
          </cell>
          <cell r="B78" t="str">
            <v>Дизельный погрузчик                                 ДП-1604-2-3</v>
          </cell>
          <cell r="C78">
            <v>2002</v>
          </cell>
          <cell r="D78">
            <v>10</v>
          </cell>
        </row>
        <row r="79">
          <cell r="A79">
            <v>58</v>
          </cell>
          <cell r="B79" t="str">
            <v>Автомобиль Тойота RAV-4</v>
          </cell>
          <cell r="C79">
            <v>2001</v>
          </cell>
          <cell r="D79">
            <v>35.485279510024327</v>
          </cell>
        </row>
        <row r="80">
          <cell r="A80">
            <v>59</v>
          </cell>
          <cell r="B80" t="str">
            <v>Комбинированный деревообрабатывающий станок</v>
          </cell>
          <cell r="C80">
            <v>1991</v>
          </cell>
          <cell r="D80">
            <v>35</v>
          </cell>
        </row>
        <row r="81">
          <cell r="A81">
            <v>60</v>
          </cell>
          <cell r="B81" t="str">
            <v>Установка "Циклон"</v>
          </cell>
          <cell r="C81">
            <v>1987</v>
          </cell>
          <cell r="D81">
            <v>45</v>
          </cell>
        </row>
        <row r="82">
          <cell r="A82">
            <v>61</v>
          </cell>
          <cell r="B82" t="str">
            <v>Автоматический шлагбаум</v>
          </cell>
          <cell r="C82">
            <v>2002</v>
          </cell>
          <cell r="D82">
            <v>10</v>
          </cell>
        </row>
        <row r="83">
          <cell r="A83">
            <v>62</v>
          </cell>
          <cell r="B83" t="str">
            <v>Турникеты (3 шт.)</v>
          </cell>
          <cell r="C83" t="str">
            <v>2002-2004</v>
          </cell>
          <cell r="D83">
            <v>10</v>
          </cell>
        </row>
        <row r="84">
          <cell r="A84">
            <v>63</v>
          </cell>
          <cell r="B84" t="str">
            <v>Видеокамеры, в т.ч.:</v>
          </cell>
        </row>
        <row r="85">
          <cell r="B85" t="str">
            <v>Видеокамера МК 3320 с установкой</v>
          </cell>
          <cell r="C85">
            <v>2003</v>
          </cell>
          <cell r="D85">
            <v>10</v>
          </cell>
        </row>
        <row r="86">
          <cell r="B86" t="str">
            <v>Видеокамера ОТВ-5704А и видеокамера в ИК-датчике с установкой</v>
          </cell>
          <cell r="C86">
            <v>2003</v>
          </cell>
          <cell r="D86">
            <v>10</v>
          </cell>
        </row>
        <row r="87">
          <cell r="A87">
            <v>64</v>
          </cell>
          <cell r="B87" t="str">
            <v>Стенды информационные</v>
          </cell>
          <cell r="C87" t="str">
            <v>2003-2004</v>
          </cell>
          <cell r="D87">
            <v>5</v>
          </cell>
        </row>
        <row r="88">
          <cell r="A88">
            <v>65</v>
          </cell>
          <cell r="B88" t="str">
            <v xml:space="preserve">Мебель разная </v>
          </cell>
          <cell r="C88" t="str">
            <v>2002-2004</v>
          </cell>
          <cell r="D88">
            <v>10</v>
          </cell>
        </row>
        <row r="89">
          <cell r="A89">
            <v>66</v>
          </cell>
          <cell r="B89" t="str">
            <v>Кондиционеры, в т.ч.:</v>
          </cell>
        </row>
        <row r="90">
          <cell r="B90" t="str">
            <v>Кондиционер KFR 26 GW</v>
          </cell>
          <cell r="C90">
            <v>2004</v>
          </cell>
          <cell r="D90">
            <v>5</v>
          </cell>
        </row>
        <row r="91">
          <cell r="B91" t="str">
            <v>Кондиционер Vitek VT-2007</v>
          </cell>
          <cell r="C91">
            <v>2004</v>
          </cell>
          <cell r="D91">
            <v>5</v>
          </cell>
        </row>
        <row r="92">
          <cell r="B92" t="str">
            <v>Кондиционер KFR 20 GW</v>
          </cell>
          <cell r="C92">
            <v>2004</v>
          </cell>
          <cell r="D92">
            <v>5</v>
          </cell>
        </row>
        <row r="93">
          <cell r="B93" t="str">
            <v>Кондиционер KFR 35 GW</v>
          </cell>
          <cell r="C93">
            <v>2004</v>
          </cell>
          <cell r="D93">
            <v>5</v>
          </cell>
        </row>
        <row r="94">
          <cell r="B94" t="str">
            <v>Кондиционер Vitek VT-2009</v>
          </cell>
          <cell r="C94">
            <v>2004</v>
          </cell>
          <cell r="D94">
            <v>5</v>
          </cell>
        </row>
        <row r="95">
          <cell r="B95" t="str">
            <v>Кондиционер TRM-18M</v>
          </cell>
          <cell r="C95">
            <v>2004</v>
          </cell>
          <cell r="D95">
            <v>5</v>
          </cell>
        </row>
        <row r="96">
          <cell r="B96" t="str">
            <v>Кондиционер KFR 65LW/D</v>
          </cell>
          <cell r="C96">
            <v>2004</v>
          </cell>
          <cell r="D96">
            <v>5</v>
          </cell>
        </row>
        <row r="97">
          <cell r="B97" t="str">
            <v>Кондиционер WMN 1616 RC</v>
          </cell>
          <cell r="C97">
            <v>2004</v>
          </cell>
          <cell r="D97">
            <v>5</v>
          </cell>
        </row>
        <row r="98">
          <cell r="B98" t="str">
            <v>Кондиционер WMN 1616 RC</v>
          </cell>
          <cell r="C98">
            <v>2004</v>
          </cell>
          <cell r="D98">
            <v>5</v>
          </cell>
        </row>
        <row r="99">
          <cell r="A99">
            <v>67</v>
          </cell>
          <cell r="B99" t="str">
            <v>Автоматизированное рабочее место</v>
          </cell>
          <cell r="C99">
            <v>2002</v>
          </cell>
          <cell r="D99">
            <v>10</v>
          </cell>
        </row>
        <row r="100">
          <cell r="A100">
            <v>68</v>
          </cell>
          <cell r="B100" t="str">
            <v>Монитор Samsung</v>
          </cell>
          <cell r="C100">
            <v>2003</v>
          </cell>
          <cell r="D100">
            <v>10</v>
          </cell>
        </row>
        <row r="101">
          <cell r="A101">
            <v>69</v>
          </cell>
          <cell r="B101" t="str">
            <v>Другие</v>
          </cell>
          <cell r="D101">
            <v>25</v>
          </cell>
        </row>
        <row r="102">
          <cell r="B102" t="str">
            <v>ИТОГО</v>
          </cell>
        </row>
        <row r="105">
          <cell r="A105" t="str">
            <v>№ п/п</v>
          </cell>
          <cell r="B105" t="str">
            <v>Наименование</v>
          </cell>
          <cell r="C105" t="str">
            <v xml:space="preserve">Год ввода </v>
          </cell>
          <cell r="D105" t="str">
            <v>Балансовая стоимость, руб.</v>
          </cell>
        </row>
        <row r="106">
          <cell r="A106">
            <v>51</v>
          </cell>
          <cell r="B106" t="str">
            <v>Автомашина КАМАЗ 5320</v>
          </cell>
          <cell r="C106">
            <v>1991</v>
          </cell>
          <cell r="D106">
            <v>68381.259999999995</v>
          </cell>
        </row>
        <row r="107">
          <cell r="A107">
            <v>52</v>
          </cell>
          <cell r="B107" t="str">
            <v>Автомашина КАМАЗ 55111</v>
          </cell>
          <cell r="C107">
            <v>1991</v>
          </cell>
          <cell r="D107">
            <v>27725.26</v>
          </cell>
        </row>
        <row r="108">
          <cell r="A108">
            <v>53</v>
          </cell>
          <cell r="B108" t="str">
            <v>Автомобиль ЗИЛ 5301АО</v>
          </cell>
          <cell r="C108">
            <v>2001</v>
          </cell>
          <cell r="D108">
            <v>117148.4</v>
          </cell>
        </row>
        <row r="109">
          <cell r="A109">
            <v>58</v>
          </cell>
          <cell r="B109" t="str">
            <v>Автомобиль Тойота RAV-4</v>
          </cell>
          <cell r="C109">
            <v>2001</v>
          </cell>
          <cell r="D109">
            <v>900199.38</v>
          </cell>
        </row>
        <row r="111">
          <cell r="A111" t="str">
            <v>№</v>
          </cell>
          <cell r="B111" t="str">
            <v>Вид транспортного средства</v>
          </cell>
          <cell r="C111" t="str">
            <v>Вид зависимости W</v>
          </cell>
        </row>
        <row r="112">
          <cell r="A112" t="str">
            <v>п/п</v>
          </cell>
        </row>
        <row r="113">
          <cell r="A113">
            <v>1</v>
          </cell>
          <cell r="B113" t="str">
            <v>Легковые автомобили производства Японии</v>
          </cell>
          <cell r="C113" t="str">
            <v>W = 0,045×Тф + 0,002×Lф</v>
          </cell>
        </row>
        <row r="114">
          <cell r="A114">
            <v>2</v>
          </cell>
          <cell r="B114" t="str">
            <v>Грузовые бортовые автомобили отечественные</v>
          </cell>
          <cell r="C114" t="str">
            <v>W = 0,1×Тф + 0,003×Lф</v>
          </cell>
        </row>
        <row r="116">
          <cell r="A116" t="str">
            <v>Тф – фактический возраст транспортного средства, лет;</v>
          </cell>
        </row>
        <row r="117">
          <cell r="A117" t="str">
            <v xml:space="preserve"> Lф – фактический пробег транспортного средства с начала эксплуатации на  дату определения стоимости, тыс. км.</v>
          </cell>
        </row>
        <row r="120">
          <cell r="B120" t="str">
            <v>Иф = 100 × (1 – е-W), где:</v>
          </cell>
        </row>
        <row r="121">
          <cell r="B121" t="str">
            <v xml:space="preserve"> е – основание натурального логарифма, е @ 2,72;</v>
          </cell>
        </row>
        <row r="122">
          <cell r="B122" t="str">
            <v xml:space="preserve"> W - функция, зависящая от возраста и фактического пробега транспортного средства с начала эксплуатации.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Баланс "/>
      <sheetName val="Графики"/>
      <sheetName val="структура"/>
      <sheetName val="недв"/>
      <sheetName val="Оценка основных средств"/>
      <sheetName val="накопл активов"/>
      <sheetName val="МДДП"/>
      <sheetName val="Дебиторы"/>
      <sheetName val="Сведение"/>
      <sheetName val="общие сведения"/>
      <sheetName val="Лист3"/>
      <sheetName val="ликвид скидка"/>
      <sheetName val="сводка"/>
      <sheetName val="внешний износ"/>
      <sheetName val="функцмональный износ"/>
      <sheetName val="Лист1"/>
      <sheetName val="физический износ"/>
      <sheetName val="диагр износа"/>
      <sheetName val="Assum."/>
      <sheetName val="восст"/>
      <sheetName val="Sheet2"/>
      <sheetName val="Параметры"/>
      <sheetName val="проч ОС"/>
      <sheetName val="Служебный"/>
      <sheetName val="ЛитБ"/>
      <sheetName val="Исходные"/>
      <sheetName val="Опции"/>
      <sheetName val="Проект"/>
      <sheetName val="Компания"/>
      <sheetName val="Анализ"/>
      <sheetName val="Сумм"/>
      <sheetName val="общее"/>
      <sheetName val="исходник"/>
      <sheetName val="износ"/>
      <sheetName val="исход-итог"/>
      <sheetName val="Метод остатка"/>
      <sheetName val="Осн_данные"/>
      <sheetName val="Спис_Объекты_недв"/>
      <sheetName val="общий"/>
      <sheetName val="затр_подх"/>
      <sheetName val="Потоки"/>
      <sheetName val="ИТОГО"/>
      <sheetName val="АРЕНДА лот 5"/>
      <sheetName val="данные"/>
      <sheetName val="ликвидность"/>
      <sheetName val="ar"/>
      <sheetName val="выр"/>
      <sheetName val="Comp1"/>
      <sheetName val="аренда торговля"/>
      <sheetName val="константы"/>
      <sheetName val="comps"/>
      <sheetName val="база"/>
      <sheetName val="T1"/>
      <sheetName val=" General Assumptions"/>
      <sheetName val="FA_300904"/>
      <sheetName val=" Assumptions"/>
      <sheetName val="Итоги"/>
      <sheetName val="ЗемляРасчёт"/>
      <sheetName val="Баланс_"/>
      <sheetName val="Оценка_основных_средств"/>
      <sheetName val="накопл_активов"/>
      <sheetName val="общие_сведения"/>
      <sheetName val="ликвид_скидка"/>
      <sheetName val="внешний_износ"/>
      <sheetName val="функцмональный_износ"/>
      <sheetName val="физический_износ"/>
      <sheetName val="диагр_износа"/>
      <sheetName val="проч_ОС"/>
      <sheetName val="Метод_остатка"/>
      <sheetName val="аренда_торговля"/>
      <sheetName val="АРЕНДА_лот_5"/>
      <sheetName val="Assum_"/>
      <sheetName val="Содержание"/>
      <sheetName val="НФИк"/>
      <sheetName val="Menu"/>
      <sheetName val="Запрос"/>
      <sheetName val="СМЕТА"/>
      <sheetName val="card_01"/>
      <sheetName val="key"/>
      <sheetName val="Вводные данные"/>
    </sheetNames>
    <sheetDataSet>
      <sheetData sheetId="0" refreshError="1">
        <row r="6">
          <cell r="B6">
            <v>28.6</v>
          </cell>
        </row>
        <row r="14">
          <cell r="B14">
            <v>0.3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>
            <v>28.6</v>
          </cell>
        </row>
        <row r="14">
          <cell r="B14">
            <v>0.3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">
          <cell r="B6">
            <v>28.6</v>
          </cell>
        </row>
      </sheetData>
      <sheetData sheetId="60"/>
      <sheetData sheetId="61">
        <row r="6">
          <cell r="B6">
            <v>28.6</v>
          </cell>
        </row>
      </sheetData>
      <sheetData sheetId="62">
        <row r="6">
          <cell r="B6">
            <v>28.6</v>
          </cell>
        </row>
      </sheetData>
      <sheetData sheetId="63">
        <row r="6">
          <cell r="B6">
            <v>28.6</v>
          </cell>
        </row>
      </sheetData>
      <sheetData sheetId="64">
        <row r="6">
          <cell r="B6">
            <v>28.6</v>
          </cell>
        </row>
      </sheetData>
      <sheetData sheetId="65">
        <row r="6">
          <cell r="B6">
            <v>28.6</v>
          </cell>
        </row>
      </sheetData>
      <sheetData sheetId="66">
        <row r="6">
          <cell r="B6">
            <v>28.6</v>
          </cell>
        </row>
      </sheetData>
      <sheetData sheetId="67"/>
      <sheetData sheetId="68">
        <row r="6">
          <cell r="B6">
            <v>28.6</v>
          </cell>
        </row>
      </sheetData>
      <sheetData sheetId="69">
        <row r="6">
          <cell r="B6">
            <v>28.6</v>
          </cell>
        </row>
      </sheetData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Сведение"/>
      <sheetName val="дисконт"/>
      <sheetName val="восст"/>
      <sheetName val="прибыль предп"/>
      <sheetName val="ремонты"/>
      <sheetName val="неустр из дж"/>
      <sheetName val="фуниз"/>
      <sheetName val="ннэи"/>
      <sheetName val="ДП земля"/>
      <sheetName val="НИ земля"/>
      <sheetName val="Затр подх"/>
      <sheetName val="ДП пессимест (2)"/>
      <sheetName val="НИ 1 (2)"/>
      <sheetName val="ДП пессимест"/>
      <sheetName val="НИ 1"/>
      <sheetName val="аналоги"/>
      <sheetName val="арендная ставка"/>
      <sheetName val="свед"/>
      <sheetName val="General"/>
      <sheetName val="Assum."/>
      <sheetName val="Sheet2"/>
      <sheetName val="Исходные"/>
      <sheetName val="исход-итог"/>
      <sheetName val="ЛитБ"/>
      <sheetName val="Служебный"/>
      <sheetName val="Параметры"/>
      <sheetName val="Метод остатка"/>
      <sheetName val="график01.09.02"/>
      <sheetName val="ТЭП гостиница"/>
      <sheetName val="Спис_Объекты_недв"/>
      <sheetName val="общее"/>
      <sheetName val="Ставка Д"/>
      <sheetName val="const"/>
      <sheetName val="1.ИСХ"/>
      <sheetName val="документы Кириши"/>
      <sheetName val="общие данные"/>
      <sheetName val="Use"/>
      <sheetName val="исход_итог"/>
      <sheetName val="Титул"/>
      <sheetName val="Списки"/>
      <sheetName val="Лист1"/>
      <sheetName val="Ку"/>
      <sheetName val="Зоны Москвы"/>
      <sheetName val="нормы"/>
      <sheetName val="НФИк"/>
      <sheetName val="Изменения"/>
      <sheetName val="1.14"/>
      <sheetName val="1.10"/>
      <sheetName val="Баз предп"/>
      <sheetName val="ликвидность"/>
      <sheetName val="поток"/>
      <sheetName val="Дхд 639,3"/>
      <sheetName val="графики"/>
      <sheetName val="дебкред"/>
      <sheetName val="Исходные данные"/>
      <sheetName val="Средняя стоимость"/>
      <sheetName val="исход."/>
      <sheetName val="Кредит"/>
      <sheetName val="Инд"/>
      <sheetName val="затр_подх"/>
      <sheetName val="ЗУ ГУИОН!"/>
      <sheetName val="Док+Исх"/>
      <sheetName val="Содержание"/>
      <sheetName val="Смета"/>
      <sheetName val="Начало"/>
      <sheetName val="исх 1"/>
      <sheetName val="описание"/>
      <sheetName val="общий"/>
      <sheetName val="3.ЗАТРАТЫ"/>
      <sheetName val="Расчет_стоимости"/>
      <sheetName val="Осн_данн"/>
      <sheetName val="1"/>
      <sheetName val="Приложение &quot;ОС&quot;_оборуд"/>
      <sheetName val="итог тр"/>
      <sheetName val="выр"/>
      <sheetName val="Inputs"/>
      <sheetName val="Brif_zdanie"/>
      <sheetName val="Справочники"/>
      <sheetName val="константы"/>
      <sheetName val="инфо"/>
      <sheetName val="Земля"/>
      <sheetName val="Литер М"/>
      <sheetName val=" Assumptions"/>
      <sheetName val="ПВД"/>
      <sheetName val=" General Assumptions"/>
      <sheetName val="общие_сведения"/>
      <sheetName val="прибыль_предп"/>
      <sheetName val="неустр_из_дж"/>
      <sheetName val="ДП_земля"/>
      <sheetName val="НИ_земля"/>
      <sheetName val="ДП_пессимест_(2)"/>
      <sheetName val="НИ_1_(2)"/>
      <sheetName val="ДП_пессимест"/>
      <sheetName val="НИ_1"/>
      <sheetName val="арендная_ставка"/>
      <sheetName val="Общая"/>
      <sheetName val="T1"/>
      <sheetName val="затраты"/>
      <sheetName val="контакт с доп согл"/>
      <sheetName val="Справочник"/>
      <sheetName val="проч ОС"/>
      <sheetName val="Итоги"/>
      <sheetName val="ЗемляРасчёт"/>
      <sheetName val="Легенда"/>
      <sheetName val="Лист2"/>
      <sheetName val="график строительства"/>
      <sheetName val="исходник"/>
      <sheetName val="перечень с результатом"/>
      <sheetName val="износ"/>
      <sheetName val="себ"/>
      <sheetName val="ф2"/>
      <sheetName val="ф1"/>
      <sheetName val="ФХД"/>
      <sheetName val="actives"/>
      <sheetName val="АС_Офис"/>
      <sheetName val="рын_ст_зелен3"/>
      <sheetName val="ЗП"/>
      <sheetName val="Заголовок"/>
      <sheetName val="Аналоги аренда"/>
      <sheetName val="2002(v2)"/>
      <sheetName val="жд "/>
      <sheetName val="ar"/>
      <sheetName val="Предприятие"/>
      <sheetName val="ЗУ 1"/>
      <sheetName val="ЗУ Промка продажа"/>
      <sheetName val="Расчет тарифов и выручки"/>
      <sheetName val="Запрос"/>
      <sheetName val="общие_сведения1"/>
      <sheetName val="прибыль_предп1"/>
      <sheetName val="неустр_из_дж1"/>
      <sheetName val="ДП_земля1"/>
      <sheetName val="НИ_земля1"/>
      <sheetName val="ДП_пессимест_(2)1"/>
      <sheetName val="НИ_1_(2)1"/>
      <sheetName val="ДП_пессимест1"/>
      <sheetName val="НИ_11"/>
      <sheetName val="арендная_ставка1"/>
      <sheetName val="Метод_остатка"/>
      <sheetName val="Ставка_Д"/>
      <sheetName val="ТЭП_гостиница"/>
      <sheetName val="1_ИСХ"/>
      <sheetName val="документы_Кириши"/>
      <sheetName val="график01_09_02"/>
      <sheetName val="общие_данные"/>
      <sheetName val="Зоны_Москвы"/>
      <sheetName val="Исходные_данные"/>
      <sheetName val="Средняя_стоимость"/>
      <sheetName val="1_14"/>
      <sheetName val="1_10"/>
      <sheetName val="Баз_предп"/>
      <sheetName val="Дхд_639,3"/>
      <sheetName val="проч_ОС"/>
      <sheetName val="исход_"/>
      <sheetName val="Литер_М"/>
      <sheetName val="ЗУ_ГУИОН!"/>
      <sheetName val="исх_1"/>
      <sheetName val="3_ЗАТРАТЫ"/>
      <sheetName val="Приложение_&quot;ОС&quot;_оборуд"/>
      <sheetName val="итог_тр"/>
      <sheetName val="Assum_"/>
      <sheetName val="график_строительства"/>
      <sheetName val="перечень_с_результатом"/>
      <sheetName val="контакт_с_доп_согл"/>
      <sheetName val="_Assumptions"/>
      <sheetName val="_General_Assumptions"/>
      <sheetName val="Аналоги_аренда"/>
      <sheetName val="Дебиторка"/>
      <sheetName val="Balance"/>
      <sheetName val="05г."/>
      <sheetName val="рын_ст_зелен3.xls"/>
      <sheetName val="%D1%80%D1%8B%D0%BD_%D1%81%D1%82"/>
      <sheetName val="База"/>
      <sheetName val="КУРС"/>
      <sheetName val="dk"/>
      <sheetName val="ЗУ продажа"/>
      <sheetName val="ЗУ_Промка_продажа"/>
      <sheetName val="Расчет_тарифов_и_выручки"/>
      <sheetName val="наиболее вероятный"/>
      <sheetName val="11"/>
      <sheetName val="2"/>
      <sheetName val="3"/>
      <sheetName val="4"/>
      <sheetName val="5"/>
      <sheetName val="6"/>
      <sheetName val="10"/>
      <sheetName val="7"/>
      <sheetName val="8"/>
      <sheetName val="9"/>
      <sheetName val="данные"/>
      <sheetName val="разряд"/>
      <sheetName val="ар2"/>
      <sheetName val="F5_detail"/>
      <sheetName val="13 NGDO"/>
    </sheetNames>
    <sheetDataSet>
      <sheetData sheetId="0" refreshError="1">
        <row r="7">
          <cell r="B7">
            <v>27.82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г"/>
      <sheetName val="мфтц,к.1"/>
      <sheetName val="2А,2Б"/>
      <sheetName val="мфтц,к.4"/>
      <sheetName val="каскад,5"/>
      <sheetName val="байкон"/>
      <sheetName val="Долгооз"/>
      <sheetName val="Кол,26"/>
      <sheetName val="Ланск"/>
      <sheetName val="Нов.Гр."/>
      <sheetName val="Энг-99"/>
      <sheetName val="Од,28"/>
      <sheetName val="т-3(ст)"/>
      <sheetName val="Лист2"/>
      <sheetName val="Лист1-ЛССМУ"/>
      <sheetName val="мфтц,к_1"/>
      <sheetName val="мфтц,к_4"/>
      <sheetName val="Нов_Гр_"/>
      <sheetName val="мфтц,к_11"/>
      <sheetName val="мфтц,к_41"/>
      <sheetName val="Нов_Гр_1"/>
      <sheetName val="мфтц,к_12"/>
      <sheetName val="мфтц,к_42"/>
      <sheetName val="Нов_Гр_2"/>
      <sheetName val="мфтц,к_13"/>
      <sheetName val="мфтц,к_43"/>
      <sheetName val="Нов_Гр_3"/>
      <sheetName val="sаскад,5"/>
      <sheetName val="sог"/>
      <sheetName val="sфтц,к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общие сведения"/>
      <sheetName val="свед"/>
      <sheetName val="Трансформация бу в уу(сентябрь)"/>
      <sheetName val="Исходные"/>
      <sheetName val="Balance Sheet"/>
      <sheetName val="Ставка Д"/>
      <sheetName val="Параметры"/>
      <sheetName val="Sheet2"/>
    </sheetNames>
    <sheetDataSet>
      <sheetData sheetId="0" refreshError="1"/>
      <sheetData sheetId="1" refreshError="1"/>
      <sheetData sheetId="2" refreshError="1"/>
      <sheetData sheetId="3">
        <row r="2">
          <cell r="C2">
            <v>28.39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общее"/>
      <sheetName val="константы"/>
      <sheetName val="свед"/>
      <sheetName val="общие сведения"/>
      <sheetName val="ЛитБ"/>
      <sheetName val="Исходные"/>
      <sheetName val="рабочий"/>
      <sheetName val="ТЭП гостиница"/>
      <sheetName val="Лист1"/>
      <sheetName val="Ставка Д"/>
      <sheetName val="#ССЫЛКА"/>
      <sheetName val="2.Продажа квартир"/>
      <sheetName val="1.ИСХ "/>
      <sheetName val="Параметры"/>
      <sheetName val="исход-итог"/>
      <sheetName val="Док+Исх"/>
      <sheetName val="Glossary"/>
      <sheetName val="Содержание"/>
      <sheetName val="Спис_Объекты_недв"/>
      <sheetName val="Курсы"/>
      <sheetName val="ТЭП"/>
      <sheetName val="Master Inputs Start Here"/>
      <sheetName val="HBS initial"/>
      <sheetName val="Списки"/>
      <sheetName val="ИТОГО"/>
      <sheetName val="d"/>
      <sheetName val="общие данные"/>
      <sheetName val="Дхд 639,3"/>
      <sheetName val="Balance Sheet"/>
      <sheetName val="инфо"/>
      <sheetName val="Статист"/>
      <sheetName val="Начало"/>
      <sheetName val="График строительства"/>
      <sheetName val="СРЗУ"/>
      <sheetName val="Исходные данные"/>
      <sheetName val="Data"/>
      <sheetName val="Sheet2"/>
      <sheetName val="Служебный"/>
      <sheetName val="1.ИСХ"/>
      <sheetName val="документы Кириши"/>
      <sheetName val="Income Statement"/>
      <sheetName val="ЗУ Промка продажа"/>
      <sheetName val="общий"/>
      <sheetName val="восст"/>
      <sheetName val="цены цехов"/>
      <sheetName val="Tab3"/>
      <sheetName val="Группы"/>
      <sheetName val="НФИк"/>
      <sheetName val="1.14"/>
      <sheetName val="1.10"/>
      <sheetName val="Deprec"/>
      <sheetName val="Additions 2002"/>
      <sheetName val="Изменения"/>
      <sheetName val="проч ОС"/>
      <sheetName val="Ар2"/>
      <sheetName val="Легенда"/>
      <sheetName val="Ку"/>
      <sheetName val="Зоны Москвы"/>
      <sheetName val="Brif_zdanie"/>
      <sheetName val="Выписка_РФИ"/>
      <sheetName val="Имущество_элементы"/>
      <sheetName val="MGSN"/>
      <sheetName val="Read me first"/>
      <sheetName val="АС 1-Н"/>
      <sheetName val="Для шаблона"/>
      <sheetName val="Осн_данные"/>
      <sheetName val="затр_подх"/>
      <sheetName val="BS (RAS)"/>
      <sheetName val="Смета"/>
      <sheetName val="Запрос"/>
      <sheetName val="Расчет земли"/>
      <sheetName val="ОСЗ"/>
      <sheetName val="14.ДП"/>
      <sheetName val="6.Продажа квартир"/>
      <sheetName val="3.ЗАТРАТЫ"/>
      <sheetName val="1"/>
      <sheetName val="VFI"/>
      <sheetName val="LTRate"/>
      <sheetName val="Ки"/>
      <sheetName val="Regions"/>
      <sheetName val="Tab1"/>
      <sheetName val="Tab2-X"/>
      <sheetName val="Tab2-1"/>
      <sheetName val="CAD"/>
      <sheetName val="Инвест-пр1"/>
      <sheetName val="Инвест-пр4"/>
      <sheetName val="ДП"/>
      <sheetName val="Аренда Торговля"/>
      <sheetName val="Аренда СТО"/>
      <sheetName val="Дисконт"/>
      <sheetName val="Расчет"/>
      <sheetName val="General inputs"/>
      <sheetName val="Use"/>
      <sheetName val="Дебиторы"/>
      <sheetName val="Лист2"/>
      <sheetName val="Осн_данн"/>
      <sheetName val="КО-Инвест"/>
      <sheetName val="Инд"/>
      <sheetName val="ПП"/>
      <sheetName val="Rev"/>
      <sheetName val="DCF"/>
      <sheetName val="TOC"/>
      <sheetName val="ПВД"/>
      <sheetName val="исх 1"/>
      <sheetName val="Доходный подход аренда"/>
      <sheetName val=" Assumptions"/>
      <sheetName val="Ср.пр."/>
      <sheetName val="9.ДП"/>
      <sheetName val="Ставка дисконта"/>
      <sheetName val="Sheet1"/>
      <sheetName val="от закзчика"/>
      <sheetName val="СП_КОМПЛЕКС"/>
      <sheetName val="4.озеленение"/>
      <sheetName val="остаток через улучшения"/>
      <sheetName val="Титул"/>
      <sheetName val="Земля"/>
      <sheetName val="финплан стр.п."/>
      <sheetName val="Промка"/>
      <sheetName val="график01.09.02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Баз предп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dk"/>
      <sheetName val="БУ на 30.06.2008"/>
      <sheetName val="ОО"/>
      <sheetName val="Капвложения"/>
      <sheetName val="Метод_остатка"/>
      <sheetName val="Вспом__расчеты"/>
      <sheetName val="Общий_график"/>
      <sheetName val="общие_сведения"/>
      <sheetName val="Ставка_Д"/>
      <sheetName val="2_Продажа_квартир"/>
      <sheetName val="ТЭП_гостиница"/>
      <sheetName val="1_ИСХ_"/>
      <sheetName val="Master_Inputs_Start_Here"/>
      <sheetName val="HBS_initial"/>
      <sheetName val="График_строительства"/>
      <sheetName val="общие_данные"/>
      <sheetName val="Дхд_639,3"/>
      <sheetName val="Balance_Sheet"/>
      <sheetName val="Исходные_данные"/>
      <sheetName val="ЗУ_Промка_продажа"/>
      <sheetName val="1_ИСХ"/>
      <sheetName val="документы_Кириши"/>
      <sheetName val="цены_цехов"/>
      <sheetName val="Income_Statement"/>
      <sheetName val="1_14"/>
      <sheetName val="1_10"/>
      <sheetName val="рын счи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  <sheetName val="ст-ть земли"/>
      <sheetName val="литА"/>
      <sheetName val="ЛитБ"/>
      <sheetName val="предпринимат"/>
      <sheetName val="Затр подх"/>
      <sheetName val="расчет ставки дисконта"/>
      <sheetName val="ДП пессимест"/>
      <sheetName val="НИ 1"/>
      <sheetName val="ДП обычный"/>
      <sheetName val="НИ 2"/>
      <sheetName val="ДП оптимист"/>
      <sheetName val="НИ 3 "/>
      <sheetName val="Сведение"/>
      <sheetName val="Свод"/>
      <sheetName val="Master Inputs Start here"/>
      <sheetName val="ст-ть_земли"/>
      <sheetName val="Затр_подх"/>
      <sheetName val="расчет_ставки_дисконта"/>
      <sheetName val="ДП_пессимест"/>
      <sheetName val="НИ_1"/>
      <sheetName val="ДП_обычный"/>
      <sheetName val="НИ_2"/>
      <sheetName val="ДП_оптимист"/>
      <sheetName val="НИ_3_"/>
      <sheetName val="Лист1"/>
      <sheetName val="Лист2"/>
      <sheetName val="Лист3"/>
      <sheetName val="Площади"/>
      <sheetName val="Ар пр"/>
      <sheetName val="ДП"/>
      <sheetName val="Параметры"/>
      <sheetName val="исход-итог"/>
      <sheetName val="Sheet2"/>
      <sheetName val="свед"/>
      <sheetName val="СПРБ - СТАРЫЙ"/>
      <sheetName val="исход_итог"/>
      <sheetName val="общие сведения"/>
      <sheetName val="Общая"/>
      <sheetName val="восст"/>
      <sheetName val="исх 1"/>
      <sheetName val="график01.09.02"/>
      <sheetName val="Служебный"/>
      <sheetName val="1"/>
      <sheetName val="Текст"/>
      <sheetName val="описание"/>
      <sheetName val="Исходные данные"/>
      <sheetName val="Средняя стоимость"/>
      <sheetName val="Таблица_Аренда"/>
      <sheetName val="общие данные"/>
      <sheetName val="Паспорт дома В-1 "/>
      <sheetName val="инфо"/>
      <sheetName val="разряд"/>
      <sheetName val="Метод остатка"/>
      <sheetName val="Откл. по фин. рез"/>
      <sheetName val="сводная"/>
      <sheetName val="X"/>
      <sheetName val="X1"/>
      <sheetName val="Прочие"/>
      <sheetName val="ст-ть_земли1"/>
      <sheetName val="расчет_ставки_дисконта1"/>
      <sheetName val="ДП_пессимест1"/>
      <sheetName val="НИ_11"/>
      <sheetName val="ДП_обычный1"/>
      <sheetName val="НИ_21"/>
      <sheetName val="ДП_оптимист1"/>
      <sheetName val="НИ_3_1"/>
      <sheetName val="Ар_пр"/>
      <sheetName val="СПРБ_-_СТАРЫЙ"/>
      <sheetName val="общие_сведения"/>
      <sheetName val="исх_1"/>
      <sheetName val="график01_09_02"/>
      <sheetName val="Исходные_данные"/>
      <sheetName val="Средняя_стоимость"/>
      <sheetName val="общие_данные"/>
      <sheetName val="Паспорт_дома_В-1_"/>
      <sheetName val="Метод_остатка"/>
      <sheetName val="Master_Inputs_Start_here"/>
      <sheetName val="dk"/>
      <sheetName val="2"/>
      <sheetName val="Cash Flow 12%"/>
      <sheetName val="Налоги"/>
      <sheetName val="Реестр"/>
      <sheetName val="Кредиты"/>
      <sheetName val="Комм пок аренда"/>
      <sheetName val="общее"/>
      <sheetName val="Согласование  и итог ОС"/>
      <sheetName val="Главная книга"/>
      <sheetName val="РМ"/>
      <sheetName val="Ка"/>
      <sheetName val="mtr_index"/>
      <sheetName val="ТЭП"/>
      <sheetName val="Графики"/>
    </sheetNames>
    <sheetDataSet>
      <sheetData sheetId="0" refreshError="1">
        <row r="12">
          <cell r="B12">
            <v>27.85</v>
          </cell>
        </row>
      </sheetData>
      <sheetData sheetId="1" refreshError="1"/>
      <sheetData sheetId="2" refreshError="1"/>
      <sheetData sheetId="3" refreshError="1"/>
      <sheetData sheetId="4">
        <row r="351">
          <cell r="G351">
            <v>27.85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"/>
      <sheetName val="Статьи бюджета"/>
      <sheetName val="список"/>
      <sheetName val="Адреса объектов"/>
      <sheetName val="Плановые курсы валют"/>
    </sheetNames>
    <sheetDataSet>
      <sheetData sheetId="0">
        <row r="1">
          <cell r="I1" t="str">
            <v xml:space="preserve"> </v>
          </cell>
        </row>
      </sheetData>
      <sheetData sheetId="1"/>
      <sheetData sheetId="2"/>
      <sheetData sheetId="3"/>
      <sheetData sheetId="4">
        <row r="2">
          <cell r="B2">
            <v>62</v>
          </cell>
          <cell r="D2">
            <v>63</v>
          </cell>
        </row>
        <row r="3">
          <cell r="D3">
            <v>70</v>
          </cell>
        </row>
        <row r="4">
          <cell r="B4">
            <v>95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продажа"/>
      <sheetName val="аренда"/>
      <sheetName val="УПСС"/>
      <sheetName val="SDC"/>
      <sheetName val="К"/>
      <sheetName val="Приб_ дев"/>
      <sheetName val="индекс"/>
      <sheetName val="ПВС"/>
      <sheetName val="Износ"/>
      <sheetName val="рын счит"/>
      <sheetName val="кор_ка"/>
      <sheetName val="расч_зем"/>
      <sheetName val="ан_земля"/>
      <sheetName val="земля"/>
      <sheetName val="вос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 t="str">
            <v>Здание кузнечно-штамповочного цеха 3-2</v>
          </cell>
        </row>
      </sheetData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график платежей"/>
      <sheetName val="Поручительство"/>
      <sheetName val="Комм.предлож.ЗАО"/>
      <sheetName val="Комм.предлож.ООО"/>
      <sheetName val="списки"/>
      <sheetName val="трансп.налог"/>
      <sheetName val="расчёт"/>
    </sheetNames>
    <sheetDataSet>
      <sheetData sheetId="0">
        <row r="5">
          <cell r="D5">
            <v>490752.47684742976</v>
          </cell>
        </row>
        <row r="6">
          <cell r="D6">
            <v>37</v>
          </cell>
        </row>
        <row r="9">
          <cell r="D9">
            <v>5.0000000000000001E-3</v>
          </cell>
        </row>
        <row r="14">
          <cell r="I14">
            <v>310</v>
          </cell>
        </row>
        <row r="25">
          <cell r="I25">
            <v>0</v>
          </cell>
        </row>
      </sheetData>
      <sheetData sheetId="1"/>
      <sheetData sheetId="2"/>
      <sheetData sheetId="3"/>
      <sheetData sheetId="4"/>
      <sheetData sheetId="5">
        <row r="2">
          <cell r="E2">
            <v>3</v>
          </cell>
        </row>
        <row r="21">
          <cell r="E21">
            <v>2</v>
          </cell>
        </row>
        <row r="30">
          <cell r="E30">
            <v>2</v>
          </cell>
        </row>
        <row r="34">
          <cell r="E34">
            <v>2</v>
          </cell>
        </row>
        <row r="47">
          <cell r="E47">
            <v>1</v>
          </cell>
        </row>
      </sheetData>
      <sheetData sheetId="6"/>
      <sheetData sheetId="7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>
        <row r="29">
          <cell r="E29" t="str">
            <v>руб.</v>
          </cell>
        </row>
        <row r="30">
          <cell r="E30" t="str">
            <v>тыс. руб.</v>
          </cell>
        </row>
        <row r="31">
          <cell r="E31" t="str">
            <v>млн.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  <sheetName val="Актив 1 Л1"/>
      <sheetName val="Пассив Л1"/>
      <sheetName val="Пассив 1 Л1"/>
    </sheetNames>
    <sheetDataSet>
      <sheetData sheetId="0">
        <row r="5">
          <cell r="L5" t="str">
            <v>1 октября 2005</v>
          </cell>
        </row>
        <row r="8">
          <cell r="AM8" t="str">
            <v>47182669</v>
          </cell>
        </row>
        <row r="10">
          <cell r="J10">
            <v>0</v>
          </cell>
          <cell r="AM10" t="str">
            <v>66.01 66</v>
          </cell>
        </row>
        <row r="11">
          <cell r="AM11" t="str">
            <v>67</v>
          </cell>
          <cell r="AS11" t="str">
            <v>16</v>
          </cell>
        </row>
        <row r="12">
          <cell r="A12" t="str">
            <v>Закрытые акционерные общества</v>
          </cell>
          <cell r="T12" t="str">
            <v>Частная собственность</v>
          </cell>
        </row>
        <row r="25">
          <cell r="AG25" t="str">
            <v>–</v>
          </cell>
          <cell r="AP25" t="str">
            <v>–</v>
          </cell>
        </row>
        <row r="27">
          <cell r="AG27" t="str">
            <v>8863338</v>
          </cell>
        </row>
        <row r="28">
          <cell r="AG28" t="str">
            <v>–</v>
          </cell>
        </row>
        <row r="30">
          <cell r="AG30" t="str">
            <v>–</v>
          </cell>
        </row>
        <row r="31">
          <cell r="AG31" t="str">
            <v>8669451</v>
          </cell>
        </row>
        <row r="33">
          <cell r="AG33" t="str">
            <v>5476816</v>
          </cell>
        </row>
        <row r="35">
          <cell r="AG35" t="str">
            <v>–</v>
          </cell>
        </row>
        <row r="37">
          <cell r="AG37" t="str">
            <v>19387</v>
          </cell>
        </row>
        <row r="39">
          <cell r="AG39" t="str">
            <v>2158974</v>
          </cell>
        </row>
        <row r="40">
          <cell r="AG40" t="str">
            <v>1014274</v>
          </cell>
        </row>
        <row r="42">
          <cell r="AG42" t="str">
            <v>–</v>
          </cell>
        </row>
        <row r="44">
          <cell r="AG44" t="str">
            <v>193887</v>
          </cell>
        </row>
        <row r="45">
          <cell r="AG45" t="str">
            <v>–</v>
          </cell>
        </row>
        <row r="47">
          <cell r="AG47" t="str">
            <v>80017</v>
          </cell>
        </row>
        <row r="48">
          <cell r="AG48" t="str">
            <v>113870</v>
          </cell>
        </row>
        <row r="49">
          <cell r="A49" t="str">
            <v>–</v>
          </cell>
          <cell r="AG49" t="str">
            <v>–</v>
          </cell>
          <cell r="AP49" t="str">
            <v>–</v>
          </cell>
        </row>
      </sheetData>
      <sheetData sheetId="1"/>
      <sheetData sheetId="2"/>
      <sheetData sheetId="3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Износ"/>
    </sheetNames>
    <sheetDataSet>
      <sheetData sheetId="0"/>
      <sheetData sheetId="1"/>
      <sheetData sheetId="2"/>
      <sheetData sheetId="3"/>
      <sheetData sheetId="4"/>
      <sheetData sheetId="5">
        <row r="83">
          <cell r="C83">
            <v>2.1287229464283519</v>
          </cell>
        </row>
      </sheetData>
      <sheetData sheetId="6"/>
      <sheetData sheetId="7">
        <row r="56">
          <cell r="D56">
            <v>2.5872571639071209</v>
          </cell>
          <cell r="E56">
            <v>3.0358854707015319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график01.09.02"/>
      <sheetName val="график разраб план ф (25.09.02)"/>
      <sheetName val="график строительства (01.10.02)"/>
      <sheetName val="Лист1"/>
      <sheetName val="Лист2"/>
      <sheetName val="Лист3"/>
      <sheetName val="график01_09_02"/>
      <sheetName val="график строительства"/>
      <sheetName val="Метод остатка"/>
      <sheetName val="общие сведения"/>
      <sheetName val="Исходные"/>
      <sheetName val="НФИк"/>
      <sheetName val="Расходы"/>
      <sheetName val="рабочий"/>
      <sheetName val="общее"/>
      <sheetName val="исходник"/>
      <sheetName val="износ"/>
      <sheetName val="Sheet2"/>
      <sheetName val="исход-итог"/>
      <sheetName val="1.ИСХ"/>
      <sheetName val="документы Кириши"/>
      <sheetName val="Ценыобъемы"/>
      <sheetName val="9.ДП"/>
      <sheetName val="исх 1"/>
      <sheetName val="Смета"/>
      <sheetName val="Brif_zdanie"/>
      <sheetName val="свед"/>
      <sheetName val="Параметры"/>
      <sheetName val="Баз предп"/>
      <sheetName val="3.ЗУ "/>
      <sheetName val="Содержание"/>
      <sheetName val="Осн_данные"/>
      <sheetName val="Константы"/>
      <sheetName val="инвестиции 2007"/>
      <sheetName val="ТЭП гостиница"/>
      <sheetName val="Графики Гаврской 15-17"/>
      <sheetName val="инфо"/>
      <sheetName val="2.Продажа квартир"/>
      <sheetName val="таблица"/>
      <sheetName val="ИнвестицииСвод"/>
      <sheetName val="перечень с результатом"/>
      <sheetName val="Master Inputs Start here"/>
      <sheetName val="Инд"/>
      <sheetName val="Ставка Д"/>
      <sheetName val="ЛитБ"/>
      <sheetName val="Аренда Торговля"/>
      <sheetName val="Аренда СТО"/>
      <sheetName val="tmpB193"/>
      <sheetName val="Glossary"/>
      <sheetName val="Группы"/>
      <sheetName val="Резервы"/>
      <sheetName val="Машины и оборудование"/>
      <sheetName val="Здан-затр"/>
      <sheetName val="Док+Исх"/>
      <sheetName val="затр_подх"/>
      <sheetName val="Коды расх"/>
      <sheetName val="CASH FLOW RUR"/>
      <sheetName val="график01_09_021"/>
      <sheetName val="график_разраб_план_ф_(25_09_02)"/>
      <sheetName val="график_строительства_(01_10_02)"/>
      <sheetName val="Метод_остатка"/>
      <sheetName val="график_строительства"/>
      <sheetName val="Баз_предп"/>
      <sheetName val="общие_сведения"/>
      <sheetName val="1_ИСХ"/>
      <sheetName val="документы_Кириши"/>
      <sheetName val="9_ДП"/>
      <sheetName val="исх_1"/>
      <sheetName val="инвестиции_2007"/>
      <sheetName val="ТЭП_гостиница"/>
      <sheetName val="3_ЗУ_"/>
      <sheetName val="Master_Inputs_Start_here"/>
      <sheetName val="Аренда_Торговля"/>
      <sheetName val="Аренда_СТО"/>
      <sheetName val="Графики_Гаврской_15-17"/>
      <sheetName val="2_Продажа_квартир"/>
      <sheetName val="Ставка_Д"/>
      <sheetName val="перечень_с_результатом"/>
      <sheetName val="Коды_расх"/>
      <sheetName val="CASH_FLOW_RUR"/>
      <sheetName val="Машины_и_оборудование"/>
      <sheetName val="Hypothèses_P&amp;L"/>
      <sheetName val="Лист13"/>
      <sheetName val="Hypothèses P&amp;L"/>
      <sheetName val="общие данные"/>
      <sheetName val="Кредит"/>
      <sheetName val="Из (2)"/>
      <sheetName val="Итог"/>
      <sheetName val="Корр."/>
      <sheetName val="Участ"/>
      <sheetName val="ПВС"/>
      <sheetName val="ПРО"/>
      <sheetName val="У.в (2)"/>
      <sheetName val="У.в (4)"/>
      <sheetName val="6.Продажа квартир"/>
      <sheetName val="3.ЗАТРАТЫ"/>
      <sheetName val="Форма 7 (Скважины)"/>
      <sheetName val="Начало"/>
      <sheetName val="Свод S"/>
      <sheetName val="план"/>
      <sheetName val="14.ДП"/>
      <sheetName val="1.ИСХ "/>
      <sheetName val="Данные по проекту"/>
      <sheetName val="кровля подр"/>
    </sheetNames>
    <sheetDataSet>
      <sheetData sheetId="0" refreshError="1"/>
      <sheetData sheetId="1" refreshError="1">
        <row r="3">
          <cell r="D3">
            <v>1.4999999999999999E-2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">
          <cell r="D3">
            <v>1.4999999999999999E-2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УПСС "/>
      <sheetName val="Машины и оборудование"/>
      <sheetName val="Здан-затр"/>
      <sheetName val="Номенклатура"/>
      <sheetName val="Monte-Carlo Data"/>
      <sheetName val="Ф №10"/>
      <sheetName val="Econ Balance"/>
      <sheetName val="Balance Sheet"/>
      <sheetName val="Оценка Объединенная"/>
      <sheetName val="Существующие ОС"/>
      <sheetName val="Кап вложения (вода)"/>
      <sheetName val="Кап вложения (канализация)"/>
      <sheetName val="Кап вложения (реконструкция)"/>
      <sheetName val="Баланс Объединенная"/>
      <sheetName val="ПП Вода V"/>
      <sheetName val="ПП Стоки V"/>
      <sheetName val="Сценарии"/>
      <sheetName val="Доходы"/>
      <sheetName val="ОС"/>
      <sheetName val="Кредиты"/>
      <sheetName val="План бюджет ВР 2008"/>
      <sheetName val="Расходы"/>
      <sheetName val="БДР Объединенная"/>
      <sheetName val="Дебиторы"/>
      <sheetName val="Лист3"/>
      <sheetName val="БДР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Сводные показатели"/>
      <sheetName val="Накладные расходы"/>
      <sheetName val="По потребителям"/>
      <sheetName val="Тарифы по перевозке"/>
      <sheetName val="Параметры ФОТ"/>
      <sheetName val="Д1. Увеличение стоимости ИХ"/>
      <sheetName val="Д2. Увеличение стоимости ОХ"/>
      <sheetName val="Контрагенты"/>
      <sheetName val="Служебный"/>
      <sheetName val="график строительства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Марюкова И.А.</v>
          </cell>
        </row>
      </sheetData>
      <sheetData sheetId="6" refreshError="1"/>
      <sheetData sheetId="7" refreshError="1"/>
      <sheetData sheetId="8">
        <row r="6">
          <cell r="C6" t="str">
            <v>Raisio Chemicals Ltd.</v>
          </cell>
        </row>
      </sheetData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  <sheetName val="---Здания (ПВС)"/>
      <sheetName val="----Сооруж(ПВС)"/>
      <sheetName val="---Ст-ть зд_и_соор"/>
      <sheetName val="Список рыночная"/>
      <sheetName val="ИнвестицииСвод"/>
      <sheetName val="УПСС "/>
    </sheetNames>
    <sheetDataSet>
      <sheetData sheetId="0">
        <row r="2">
          <cell r="A2" t="str">
            <v>код</v>
          </cell>
          <cell r="B2" t="str">
            <v>Инв. номер</v>
          </cell>
          <cell r="C2" t="str">
            <v>Наименование</v>
          </cell>
          <cell r="D2" t="str">
            <v>Марка</v>
          </cell>
          <cell r="F2" t="str">
            <v>Год ввода</v>
          </cell>
          <cell r="G2" t="str">
            <v>Восстановительная балансовая стоимость на 01.01.2001г.</v>
          </cell>
          <cell r="H2" t="str">
            <v>Остаточная балансовая стоимость на 01.01.2001г.</v>
          </cell>
          <cell r="I2" t="str">
            <v>Характеристика</v>
          </cell>
          <cell r="J2" t="str">
            <v>Шифр амортизации</v>
          </cell>
        </row>
        <row r="3">
          <cell r="A3">
            <v>1</v>
          </cell>
          <cell r="B3">
            <v>11210</v>
          </cell>
          <cell r="C3" t="str">
            <v>Камеры (10 шт)</v>
          </cell>
          <cell r="D3" t="str">
            <v>КСО-272</v>
          </cell>
          <cell r="E3" t="str">
            <v>ЦРП-14</v>
          </cell>
          <cell r="F3">
            <v>1981</v>
          </cell>
          <cell r="G3">
            <v>307058.17</v>
          </cell>
          <cell r="H3">
            <v>57115.35</v>
          </cell>
          <cell r="I3" t="str">
            <v>Длина 10000 мм; ширина 1000 мм; высота 2800 мм; вес 8,0 т</v>
          </cell>
        </row>
        <row r="4">
          <cell r="A4">
            <v>2</v>
          </cell>
          <cell r="B4">
            <v>11261</v>
          </cell>
          <cell r="C4" t="str">
            <v>Ячейка силов. тр-р №1</v>
          </cell>
          <cell r="E4" t="str">
            <v>ЦРП-14</v>
          </cell>
          <cell r="F4">
            <v>1957</v>
          </cell>
          <cell r="G4">
            <v>25546.9</v>
          </cell>
          <cell r="H4">
            <v>0</v>
          </cell>
          <cell r="I4" t="str">
            <v>?</v>
          </cell>
        </row>
        <row r="5">
          <cell r="A5">
            <v>3</v>
          </cell>
          <cell r="B5">
            <v>11262</v>
          </cell>
          <cell r="C5" t="str">
            <v>Ячейка силов. тр-р</v>
          </cell>
          <cell r="E5" t="str">
            <v>ЦРП-14</v>
          </cell>
          <cell r="F5">
            <v>1957</v>
          </cell>
          <cell r="G5">
            <v>21275.65</v>
          </cell>
          <cell r="H5">
            <v>0</v>
          </cell>
          <cell r="I5" t="str">
            <v>?</v>
          </cell>
        </row>
        <row r="6">
          <cell r="A6">
            <v>4</v>
          </cell>
          <cell r="B6">
            <v>11264</v>
          </cell>
          <cell r="C6" t="str">
            <v>Ячейка ТЭЦ</v>
          </cell>
          <cell r="D6" t="str">
            <v>КСО-2УМ</v>
          </cell>
          <cell r="E6" t="str">
            <v>ЦРП-14</v>
          </cell>
          <cell r="F6">
            <v>1957</v>
          </cell>
          <cell r="G6">
            <v>21275.65</v>
          </cell>
          <cell r="H6">
            <v>0</v>
          </cell>
          <cell r="I6" t="str">
            <v>Длина 1200 мм; ширина 1200 мм; высота 3100 мм; вес 0,9 т</v>
          </cell>
        </row>
        <row r="7">
          <cell r="A7">
            <v>5</v>
          </cell>
          <cell r="B7">
            <v>11265</v>
          </cell>
          <cell r="C7" t="str">
            <v>Ячейка тр-р напряж</v>
          </cell>
          <cell r="D7" t="str">
            <v>КСО-2УМ</v>
          </cell>
          <cell r="E7" t="str">
            <v>ЦРП-14</v>
          </cell>
          <cell r="F7">
            <v>1957</v>
          </cell>
          <cell r="G7">
            <v>12185.15</v>
          </cell>
          <cell r="H7">
            <v>0</v>
          </cell>
          <cell r="I7" t="str">
            <v>Длина 1200 мм; ширина 1200 мм; высота 3100 мм; вес 0,9 т</v>
          </cell>
        </row>
        <row r="8">
          <cell r="A8">
            <v>6</v>
          </cell>
          <cell r="B8">
            <v>11266</v>
          </cell>
          <cell r="C8" t="str">
            <v>Ячейка сил. тр-р №2</v>
          </cell>
          <cell r="D8" t="str">
            <v>КСО-2УМ</v>
          </cell>
          <cell r="E8" t="str">
            <v>ЦРП-14</v>
          </cell>
          <cell r="F8">
            <v>1957</v>
          </cell>
          <cell r="G8">
            <v>21275.65</v>
          </cell>
          <cell r="H8">
            <v>0</v>
          </cell>
          <cell r="I8" t="str">
            <v>Длина 1200 мм; ширина 1200 мм; высота 3100 мм; вес 0,9 т</v>
          </cell>
        </row>
        <row r="9">
          <cell r="A9">
            <v>7</v>
          </cell>
          <cell r="B9">
            <v>11267</v>
          </cell>
          <cell r="C9" t="str">
            <v>Ячейка тр-р напряж</v>
          </cell>
          <cell r="E9" t="str">
            <v>ЦРП-14</v>
          </cell>
          <cell r="F9">
            <v>1957</v>
          </cell>
          <cell r="G9">
            <v>12185.15</v>
          </cell>
          <cell r="H9">
            <v>0</v>
          </cell>
          <cell r="I9" t="str">
            <v>Длина 1200 мм; ширина 1200 мм; высота 3100 мм; вес 0,9 т</v>
          </cell>
        </row>
        <row r="10">
          <cell r="A10">
            <v>8</v>
          </cell>
          <cell r="B10">
            <v>11288</v>
          </cell>
          <cell r="C10" t="str">
            <v>Ячейка ТЭЦ-2 №1</v>
          </cell>
          <cell r="D10" t="str">
            <v>КСО-2УМ</v>
          </cell>
          <cell r="E10" t="str">
            <v>ЦРП-13</v>
          </cell>
          <cell r="F10">
            <v>1965</v>
          </cell>
          <cell r="G10">
            <v>12185.15</v>
          </cell>
          <cell r="H10">
            <v>0</v>
          </cell>
          <cell r="I10" t="str">
            <v>Длина 1200 мм; ширина 1200 мм; высота 3100 мм; вес 0,9 т</v>
          </cell>
        </row>
        <row r="11">
          <cell r="A11">
            <v>9</v>
          </cell>
          <cell r="B11">
            <v>11298</v>
          </cell>
          <cell r="C11" t="str">
            <v>Камера</v>
          </cell>
          <cell r="D11" t="str">
            <v>КСО-366-311</v>
          </cell>
          <cell r="E11" t="str">
            <v>ЦРП-13</v>
          </cell>
          <cell r="F11">
            <v>1993</v>
          </cell>
          <cell r="G11">
            <v>13717.2</v>
          </cell>
          <cell r="H11">
            <v>9291.74</v>
          </cell>
          <cell r="I11" t="str">
            <v>Ширина 1000 мм; глубина 1000 мм; высота 2080 мм; вес 0,3 т</v>
          </cell>
        </row>
        <row r="12">
          <cell r="A12">
            <v>10</v>
          </cell>
          <cell r="B12">
            <v>11299</v>
          </cell>
          <cell r="C12" t="str">
            <v>Камера</v>
          </cell>
          <cell r="D12" t="str">
            <v>КСО-366-311</v>
          </cell>
          <cell r="E12" t="str">
            <v>ЦРП-13</v>
          </cell>
          <cell r="F12">
            <v>1993</v>
          </cell>
          <cell r="G12">
            <v>13717.2</v>
          </cell>
          <cell r="H12">
            <v>9291.74</v>
          </cell>
          <cell r="I12" t="str">
            <v>Ширина 1000 мм; глубина 1000 мм; высота 2080 мм; вес 0,3 т</v>
          </cell>
        </row>
        <row r="13">
          <cell r="A13">
            <v>11</v>
          </cell>
          <cell r="B13">
            <v>11302</v>
          </cell>
          <cell r="C13" t="str">
            <v>Ячейка силов. тр-р №3</v>
          </cell>
          <cell r="D13" t="str">
            <v>?</v>
          </cell>
          <cell r="E13" t="str">
            <v>ЦРП-6</v>
          </cell>
          <cell r="F13">
            <v>1962</v>
          </cell>
          <cell r="G13">
            <v>21275.65</v>
          </cell>
          <cell r="H13">
            <v>0</v>
          </cell>
          <cell r="I13" t="str">
            <v>Длина 2700 мм; ширина 1600 мм; высота 4000 мм; вес 0,8 т</v>
          </cell>
        </row>
        <row r="14">
          <cell r="A14">
            <v>12</v>
          </cell>
          <cell r="B14">
            <v>11305</v>
          </cell>
          <cell r="C14" t="str">
            <v>Ячейка силов. тр-р №4</v>
          </cell>
          <cell r="D14" t="str">
            <v>?</v>
          </cell>
          <cell r="E14" t="str">
            <v>ЦРП-6</v>
          </cell>
          <cell r="F14">
            <v>1962</v>
          </cell>
          <cell r="G14">
            <v>21275.65</v>
          </cell>
          <cell r="H14">
            <v>0</v>
          </cell>
          <cell r="I14" t="str">
            <v>Длина 270 мм; ширина 160 мм; высота 400 мм; вес 0,8 т</v>
          </cell>
        </row>
        <row r="15">
          <cell r="A15">
            <v>13</v>
          </cell>
          <cell r="B15">
            <v>11448</v>
          </cell>
          <cell r="C15" t="str">
            <v>Распредщит ПСН</v>
          </cell>
          <cell r="E15" t="str">
            <v>ЦРП-14</v>
          </cell>
          <cell r="F15">
            <v>1969</v>
          </cell>
          <cell r="G15">
            <v>114517.82</v>
          </cell>
          <cell r="H15">
            <v>0</v>
          </cell>
          <cell r="I15" t="str">
            <v>?</v>
          </cell>
        </row>
        <row r="16">
          <cell r="A16">
            <v>14</v>
          </cell>
          <cell r="B16">
            <v>11453</v>
          </cell>
          <cell r="C16" t="str">
            <v>Трансформатор</v>
          </cell>
          <cell r="D16" t="str">
            <v>ТМ-1000/10</v>
          </cell>
          <cell r="E16" t="str">
            <v>ЦРП-14</v>
          </cell>
          <cell r="F16">
            <v>1973</v>
          </cell>
          <cell r="G16">
            <v>38779.72</v>
          </cell>
          <cell r="H16">
            <v>0</v>
          </cell>
          <cell r="I16" t="str">
            <v>Длина 2345 мм; ширина 1415 мм; высота 2620 мм; вес 4,5 т</v>
          </cell>
        </row>
        <row r="17">
          <cell r="A17">
            <v>15</v>
          </cell>
          <cell r="B17">
            <v>11501</v>
          </cell>
          <cell r="C17" t="str">
            <v>Трансформатор</v>
          </cell>
          <cell r="D17" t="str">
            <v>ТМ-630-6/0,4</v>
          </cell>
          <cell r="E17" t="str">
            <v>ТП-41</v>
          </cell>
          <cell r="F17">
            <v>1982</v>
          </cell>
          <cell r="G17">
            <v>38626.400000000001</v>
          </cell>
          <cell r="H17">
            <v>8884.35</v>
          </cell>
          <cell r="I17" t="str">
            <v>Длина 1750 мм; ширина 1185 мм; высота 1925 мм; вес 2,8 т</v>
          </cell>
        </row>
        <row r="18">
          <cell r="A18">
            <v>16</v>
          </cell>
          <cell r="B18">
            <v>11502</v>
          </cell>
          <cell r="C18" t="str">
            <v>Трансформатор</v>
          </cell>
          <cell r="D18" t="str">
            <v>ТМ-630-6/0,4</v>
          </cell>
          <cell r="E18" t="str">
            <v>ЦРП-4</v>
          </cell>
          <cell r="F18">
            <v>1982</v>
          </cell>
          <cell r="G18">
            <v>38626.400000000001</v>
          </cell>
          <cell r="H18">
            <v>8884.35</v>
          </cell>
          <cell r="I18" t="str">
            <v>Длина 1750 мм; ширина 1185 мм; высота 1925 мм; вес 2,8 т</v>
          </cell>
        </row>
        <row r="19">
          <cell r="A19">
            <v>17</v>
          </cell>
          <cell r="B19">
            <v>11513</v>
          </cell>
          <cell r="C19" t="str">
            <v>Ячейка Б</v>
          </cell>
          <cell r="D19" t="str">
            <v>КСО-366</v>
          </cell>
          <cell r="E19" t="str">
            <v>ЦРП-13</v>
          </cell>
          <cell r="F19">
            <v>1971</v>
          </cell>
          <cell r="G19">
            <v>7430.36</v>
          </cell>
          <cell r="H19">
            <v>0</v>
          </cell>
          <cell r="I19" t="str">
            <v>Длина 1000 мм; ширина 1000 мм; высота 2080 мм; вес 0,3 т</v>
          </cell>
        </row>
        <row r="20">
          <cell r="A20">
            <v>18</v>
          </cell>
          <cell r="B20">
            <v>11522</v>
          </cell>
          <cell r="C20" t="str">
            <v>Трансформатор</v>
          </cell>
          <cell r="D20" t="str">
            <v>ТМ-750/6</v>
          </cell>
          <cell r="E20" t="str">
            <v>ТП-45</v>
          </cell>
          <cell r="F20">
            <v>1957</v>
          </cell>
          <cell r="G20">
            <v>67372.91</v>
          </cell>
          <cell r="H20">
            <v>0</v>
          </cell>
          <cell r="I20" t="str">
            <v>Длина 2555 мм; ширина 1480 мм; высота 2200 мм; вес 4,0 т</v>
          </cell>
        </row>
        <row r="21">
          <cell r="A21">
            <v>19</v>
          </cell>
          <cell r="B21">
            <v>11543</v>
          </cell>
          <cell r="C21" t="str">
            <v>Трансформатор</v>
          </cell>
          <cell r="D21" t="str">
            <v>ТМ-560/6</v>
          </cell>
          <cell r="E21" t="str">
            <v>ТП-10</v>
          </cell>
          <cell r="F21">
            <v>1957</v>
          </cell>
          <cell r="G21">
            <v>51899.7</v>
          </cell>
          <cell r="H21">
            <v>0</v>
          </cell>
          <cell r="I21" t="str">
            <v>Длина 2270 мм; ширина 1375 мм; высота 2210 мм; вес 3,0 т</v>
          </cell>
        </row>
        <row r="22">
          <cell r="A22">
            <v>20</v>
          </cell>
          <cell r="B22">
            <v>11565</v>
          </cell>
          <cell r="C22" t="str">
            <v>Выключатель масл.</v>
          </cell>
          <cell r="D22" t="str">
            <v>ВМП-10</v>
          </cell>
          <cell r="E22" t="str">
            <v>ЦРП-13</v>
          </cell>
          <cell r="F22">
            <v>1982</v>
          </cell>
          <cell r="G22">
            <v>11030.95</v>
          </cell>
          <cell r="H22">
            <v>3586.4</v>
          </cell>
        </row>
        <row r="23">
          <cell r="A23">
            <v>21</v>
          </cell>
          <cell r="B23">
            <v>11566</v>
          </cell>
          <cell r="C23" t="str">
            <v>Выключатель масл.</v>
          </cell>
          <cell r="D23" t="str">
            <v>ВМП-10</v>
          </cell>
          <cell r="E23" t="str">
            <v>ГРП-13</v>
          </cell>
          <cell r="F23">
            <v>1982</v>
          </cell>
          <cell r="G23">
            <v>11030.95</v>
          </cell>
          <cell r="H23">
            <v>3586.4</v>
          </cell>
        </row>
        <row r="24">
          <cell r="A24">
            <v>22</v>
          </cell>
          <cell r="B24">
            <v>11572</v>
          </cell>
          <cell r="C24" t="str">
            <v>Конденсаторная установка</v>
          </cell>
          <cell r="D24" t="str">
            <v>?</v>
          </cell>
          <cell r="E24" t="str">
            <v>ЦРП-4</v>
          </cell>
          <cell r="F24">
            <v>1974</v>
          </cell>
          <cell r="G24">
            <v>11262.98</v>
          </cell>
          <cell r="H24">
            <v>0</v>
          </cell>
          <cell r="I24" t="str">
            <v>?</v>
          </cell>
        </row>
        <row r="25">
          <cell r="A25">
            <v>23</v>
          </cell>
          <cell r="B25">
            <v>11589</v>
          </cell>
          <cell r="C25" t="str">
            <v>Панель</v>
          </cell>
          <cell r="D25" t="str">
            <v>КРУ-5429</v>
          </cell>
          <cell r="E25" t="str">
            <v>ЦРП-12</v>
          </cell>
          <cell r="F25">
            <v>1974</v>
          </cell>
          <cell r="G25">
            <v>92968.16</v>
          </cell>
          <cell r="H25">
            <v>0</v>
          </cell>
        </row>
        <row r="26">
          <cell r="A26">
            <v>24</v>
          </cell>
          <cell r="B26">
            <v>11593</v>
          </cell>
          <cell r="C26" t="str">
            <v>Трансформатор</v>
          </cell>
          <cell r="D26" t="str">
            <v>ТМ-560/6</v>
          </cell>
          <cell r="E26" t="str">
            <v>ТП-10</v>
          </cell>
          <cell r="F26">
            <v>1959</v>
          </cell>
          <cell r="G26">
            <v>51899.7</v>
          </cell>
          <cell r="H26">
            <v>0</v>
          </cell>
          <cell r="I26" t="str">
            <v>Длина 2270 мм; ширина 1375 мм; высота 2210 мм; вес 3,0 т</v>
          </cell>
        </row>
        <row r="27">
          <cell r="A27">
            <v>25</v>
          </cell>
          <cell r="B27">
            <v>11607</v>
          </cell>
          <cell r="C27" t="str">
            <v>Трансформатор</v>
          </cell>
          <cell r="D27" t="str">
            <v>ТМ-1000/10</v>
          </cell>
          <cell r="E27" t="str">
            <v>?</v>
          </cell>
          <cell r="F27">
            <v>1975</v>
          </cell>
          <cell r="G27">
            <v>39263.25</v>
          </cell>
          <cell r="H27">
            <v>0</v>
          </cell>
          <cell r="I27" t="str">
            <v>Длина 2345 мм; ширина 1415 мм; высота 2620 мм; вес 4,5 т</v>
          </cell>
        </row>
        <row r="28">
          <cell r="A28">
            <v>26</v>
          </cell>
          <cell r="B28">
            <v>11610</v>
          </cell>
          <cell r="C28" t="str">
            <v>Трансформатор</v>
          </cell>
          <cell r="D28" t="str">
            <v>ТМ-630-6</v>
          </cell>
          <cell r="E28" t="str">
            <v>?</v>
          </cell>
          <cell r="F28">
            <v>1975</v>
          </cell>
          <cell r="G28">
            <v>7059.65</v>
          </cell>
          <cell r="H28">
            <v>0</v>
          </cell>
          <cell r="I28" t="str">
            <v>Длина 1750 мм; ширина 1185 мм; высота 1925 мм; вес 3,0 т</v>
          </cell>
        </row>
        <row r="29">
          <cell r="A29">
            <v>27</v>
          </cell>
          <cell r="B29">
            <v>11619</v>
          </cell>
          <cell r="C29" t="str">
            <v>Силов. шкаф</v>
          </cell>
          <cell r="D29" t="str">
            <v>КВУ-66</v>
          </cell>
          <cell r="E29" t="str">
            <v>ГРП-7</v>
          </cell>
          <cell r="F29">
            <v>1976</v>
          </cell>
          <cell r="G29">
            <v>6850.12</v>
          </cell>
          <cell r="H29">
            <v>0</v>
          </cell>
        </row>
        <row r="30">
          <cell r="A30">
            <v>28</v>
          </cell>
          <cell r="B30">
            <v>11622</v>
          </cell>
          <cell r="C30" t="str">
            <v>Распредщит ПСН-8105</v>
          </cell>
          <cell r="E30" t="str">
            <v>ГРП-6</v>
          </cell>
          <cell r="F30">
            <v>1976</v>
          </cell>
          <cell r="G30">
            <v>291057.40000000002</v>
          </cell>
          <cell r="H30">
            <v>0</v>
          </cell>
        </row>
        <row r="31">
          <cell r="A31">
            <v>29</v>
          </cell>
          <cell r="B31">
            <v>11636</v>
          </cell>
          <cell r="C31" t="str">
            <v>Щит панельный ПСН</v>
          </cell>
          <cell r="E31" t="str">
            <v>ГРП-6</v>
          </cell>
          <cell r="F31">
            <v>1976</v>
          </cell>
          <cell r="G31">
            <v>8429.67</v>
          </cell>
          <cell r="H31">
            <v>0</v>
          </cell>
        </row>
        <row r="32">
          <cell r="A32">
            <v>30</v>
          </cell>
          <cell r="B32">
            <v>11638</v>
          </cell>
          <cell r="C32" t="str">
            <v>Щит панельный ПСН</v>
          </cell>
          <cell r="E32" t="str">
            <v>ГРП-6</v>
          </cell>
          <cell r="F32">
            <v>1976</v>
          </cell>
          <cell r="G32">
            <v>8445.7900000000009</v>
          </cell>
          <cell r="H32">
            <v>0</v>
          </cell>
        </row>
        <row r="33">
          <cell r="A33">
            <v>31</v>
          </cell>
          <cell r="B33">
            <v>11639</v>
          </cell>
          <cell r="C33" t="str">
            <v>Трансформатор</v>
          </cell>
          <cell r="D33" t="str">
            <v>ТМ-1000/10</v>
          </cell>
          <cell r="E33" t="str">
            <v>ЦРП-12</v>
          </cell>
          <cell r="F33">
            <v>1976</v>
          </cell>
          <cell r="G33">
            <v>40697.75</v>
          </cell>
          <cell r="H33">
            <v>0</v>
          </cell>
          <cell r="I33" t="str">
            <v>Длина 2345 мм; ширина 1415 мм; высота 2620 мм; вес 4,5 т</v>
          </cell>
        </row>
        <row r="34">
          <cell r="A34">
            <v>32</v>
          </cell>
          <cell r="B34">
            <v>11640</v>
          </cell>
          <cell r="C34" t="str">
            <v>Трансформатор</v>
          </cell>
          <cell r="D34" t="str">
            <v>ТМ-1000/10</v>
          </cell>
          <cell r="E34" t="str">
            <v>ЦРП-12</v>
          </cell>
          <cell r="F34">
            <v>1976</v>
          </cell>
          <cell r="G34">
            <v>40697.75</v>
          </cell>
          <cell r="H34">
            <v>0</v>
          </cell>
          <cell r="I34" t="str">
            <v>Длина 2345 мм; ширина 1415 мм; высота 2620 мм; вес 4,5 т</v>
          </cell>
        </row>
        <row r="35">
          <cell r="A35">
            <v>33</v>
          </cell>
          <cell r="B35">
            <v>11662</v>
          </cell>
          <cell r="C35" t="str">
            <v>Трансформатор</v>
          </cell>
          <cell r="D35" t="str">
            <v>ТМ-630-6</v>
          </cell>
          <cell r="E35" t="str">
            <v>ЦРП-13</v>
          </cell>
          <cell r="F35">
            <v>1987</v>
          </cell>
          <cell r="G35">
            <v>54121.39</v>
          </cell>
          <cell r="H35">
            <v>24351.51</v>
          </cell>
          <cell r="I35" t="str">
            <v>Длина 1750 мм; ширина 1185 мм; высота 1925 мм; вес 2,8 т</v>
          </cell>
        </row>
        <row r="36">
          <cell r="A36">
            <v>34</v>
          </cell>
          <cell r="B36">
            <v>11716</v>
          </cell>
          <cell r="C36" t="str">
            <v>Ячейка фидера "В"</v>
          </cell>
          <cell r="D36" t="str">
            <v>КСО-2УМ</v>
          </cell>
          <cell r="E36" t="str">
            <v>ГРП-14</v>
          </cell>
          <cell r="F36">
            <v>1957</v>
          </cell>
          <cell r="G36">
            <v>21275.65</v>
          </cell>
          <cell r="H36">
            <v>0</v>
          </cell>
          <cell r="I36" t="str">
            <v>Длина 1200 мм; ширина 1200 мм; высота 3100 мм; вес 0,9 т</v>
          </cell>
        </row>
        <row r="37">
          <cell r="A37">
            <v>35</v>
          </cell>
          <cell r="B37">
            <v>11718</v>
          </cell>
          <cell r="C37" t="str">
            <v>Ячейка фидера "Резерв"</v>
          </cell>
          <cell r="D37" t="str">
            <v>КСО-2УМ</v>
          </cell>
          <cell r="E37" t="str">
            <v>ГРП-14</v>
          </cell>
          <cell r="F37">
            <v>1957</v>
          </cell>
          <cell r="G37">
            <v>21275.65</v>
          </cell>
          <cell r="H37">
            <v>0</v>
          </cell>
          <cell r="I37" t="str">
            <v>Длина 1200 мм; ширина 1200 мм; высота 3100 мм; вес 0,9 т</v>
          </cell>
        </row>
        <row r="38">
          <cell r="A38">
            <v>36</v>
          </cell>
          <cell r="B38">
            <v>11719</v>
          </cell>
          <cell r="C38" t="str">
            <v>Ячейка фидера "Кинотеатр"</v>
          </cell>
          <cell r="D38" t="str">
            <v>КСО-2УМ</v>
          </cell>
          <cell r="E38" t="str">
            <v>ЦРП-?</v>
          </cell>
          <cell r="F38">
            <v>1957</v>
          </cell>
          <cell r="G38">
            <v>21275.65</v>
          </cell>
          <cell r="H38">
            <v>0</v>
          </cell>
          <cell r="I38" t="str">
            <v>Длина 1200 мм; ширина 1200 мм; высота 3100 мм; вес 0,9 т</v>
          </cell>
        </row>
        <row r="39">
          <cell r="A39">
            <v>37</v>
          </cell>
          <cell r="B39">
            <v>11729</v>
          </cell>
          <cell r="C39" t="str">
            <v>Ячейка фидера БРУ</v>
          </cell>
          <cell r="D39" t="str">
            <v>КСО-2УМ</v>
          </cell>
          <cell r="E39" t="str">
            <v>ЦРП-?</v>
          </cell>
          <cell r="F39">
            <v>1957</v>
          </cell>
          <cell r="G39">
            <v>21275.65</v>
          </cell>
          <cell r="H39">
            <v>0</v>
          </cell>
          <cell r="I39" t="str">
            <v>Длина 1200 мм; ширина 1200 мм; высота 3100 мм; вес 0,9 т</v>
          </cell>
        </row>
        <row r="40">
          <cell r="A40">
            <v>38</v>
          </cell>
          <cell r="B40">
            <v>11737</v>
          </cell>
          <cell r="C40" t="str">
            <v>Ячейка фидера ТП-9 №1</v>
          </cell>
          <cell r="D40" t="str">
            <v>КСО-2УМ</v>
          </cell>
          <cell r="E40" t="str">
            <v>ЦРП-?</v>
          </cell>
          <cell r="F40">
            <v>1965</v>
          </cell>
          <cell r="G40">
            <v>12185.15</v>
          </cell>
          <cell r="H40">
            <v>0</v>
          </cell>
          <cell r="I40" t="str">
            <v>Длина 1200 мм; ширина 1200 мм; высота 3100 мм; вес 0,9 т</v>
          </cell>
        </row>
        <row r="41">
          <cell r="A41">
            <v>39</v>
          </cell>
          <cell r="B41">
            <v>11738</v>
          </cell>
          <cell r="C41" t="str">
            <v>Ячейка фидера ТП-9 №2</v>
          </cell>
          <cell r="D41" t="str">
            <v>КСО-2УМ</v>
          </cell>
          <cell r="E41" t="str">
            <v>ЦРП-?</v>
          </cell>
          <cell r="F41">
            <v>1965</v>
          </cell>
          <cell r="G41">
            <v>14570.6</v>
          </cell>
          <cell r="H41">
            <v>0</v>
          </cell>
          <cell r="I41" t="str">
            <v>Длина 1200 мм; ширина 1200 мм; высота 3100 мм; вес 0,9 т</v>
          </cell>
        </row>
        <row r="42">
          <cell r="A42">
            <v>40</v>
          </cell>
          <cell r="B42">
            <v>11802</v>
          </cell>
          <cell r="C42" t="str">
            <v>Ячейка ТП-8 №2</v>
          </cell>
          <cell r="D42" t="str">
            <v>КСО-2УМ</v>
          </cell>
          <cell r="E42" t="str">
            <v>ЦРП-?</v>
          </cell>
          <cell r="F42">
            <v>1964</v>
          </cell>
          <cell r="G42">
            <v>21275.65</v>
          </cell>
          <cell r="H42">
            <v>0</v>
          </cell>
          <cell r="I42" t="str">
            <v>Длина 1200 мм; ширина 1200 мм; высота 3100 мм; вес 0,9 т</v>
          </cell>
        </row>
        <row r="43">
          <cell r="A43">
            <v>41</v>
          </cell>
          <cell r="B43">
            <v>11803</v>
          </cell>
          <cell r="C43" t="str">
            <v>Ячейка ТП-7</v>
          </cell>
          <cell r="D43" t="str">
            <v>КСО-2УМ</v>
          </cell>
          <cell r="E43" t="str">
            <v>ЦРП-4</v>
          </cell>
          <cell r="F43">
            <v>1964</v>
          </cell>
          <cell r="G43">
            <v>21275.65</v>
          </cell>
          <cell r="H43">
            <v>0</v>
          </cell>
          <cell r="I43" t="str">
            <v>Длина 1200 мм; ширина 1200 мм; высота 3100 мм; вес 0,9 т</v>
          </cell>
        </row>
        <row r="44">
          <cell r="A44">
            <v>42</v>
          </cell>
          <cell r="B44">
            <v>11804</v>
          </cell>
          <cell r="C44" t="str">
            <v>Ячейка ТЭЦ-2</v>
          </cell>
          <cell r="D44" t="str">
            <v>КСО-2УМ</v>
          </cell>
          <cell r="E44" t="str">
            <v>ЦРП-4</v>
          </cell>
          <cell r="F44">
            <v>1964</v>
          </cell>
          <cell r="G44">
            <v>21275.65</v>
          </cell>
          <cell r="H44">
            <v>0</v>
          </cell>
          <cell r="I44" t="str">
            <v>Длина 1200 мм; ширина 1200 мм; высота 3100 мм; вес 0,9 т</v>
          </cell>
        </row>
        <row r="45">
          <cell r="A45">
            <v>43</v>
          </cell>
          <cell r="B45">
            <v>11805</v>
          </cell>
          <cell r="C45" t="str">
            <v>Ячейка тр-р напряж</v>
          </cell>
          <cell r="D45" t="str">
            <v>КСО-2УМ</v>
          </cell>
          <cell r="E45" t="str">
            <v>ЦРП-4</v>
          </cell>
          <cell r="F45">
            <v>1964</v>
          </cell>
          <cell r="G45">
            <v>14570.6</v>
          </cell>
          <cell r="H45">
            <v>0</v>
          </cell>
          <cell r="I45" t="str">
            <v>Длина 1200 мм; ширина 1200 мм; высота 3100 мм; вес 0,9 т</v>
          </cell>
        </row>
        <row r="46">
          <cell r="A46">
            <v>44</v>
          </cell>
          <cell r="B46">
            <v>11806</v>
          </cell>
          <cell r="C46" t="str">
            <v>Ячейка сил. тр-р №2</v>
          </cell>
          <cell r="D46" t="str">
            <v>КСО-2УМ</v>
          </cell>
          <cell r="E46" t="str">
            <v>ЦРП-4</v>
          </cell>
          <cell r="F46">
            <v>1964</v>
          </cell>
          <cell r="G46">
            <v>21275.65</v>
          </cell>
          <cell r="H46">
            <v>0</v>
          </cell>
          <cell r="I46" t="str">
            <v>Длина 1200 мм; ширина 1200 мм; высота 3100 мм; вес 0,9 т</v>
          </cell>
        </row>
        <row r="47">
          <cell r="A47">
            <v>45</v>
          </cell>
          <cell r="B47">
            <v>11807</v>
          </cell>
          <cell r="C47" t="str">
            <v>Ячейка секционная</v>
          </cell>
          <cell r="D47" t="str">
            <v>КСО-2УМ</v>
          </cell>
          <cell r="E47" t="str">
            <v>ЦРП-4</v>
          </cell>
          <cell r="F47">
            <v>1964</v>
          </cell>
          <cell r="G47">
            <v>21275.65</v>
          </cell>
          <cell r="H47">
            <v>0</v>
          </cell>
          <cell r="I47" t="str">
            <v>Длина 1200 мм; ширина 1200 мм; высота 3100 мм; вес 0,9 т</v>
          </cell>
        </row>
        <row r="48">
          <cell r="A48">
            <v>46</v>
          </cell>
          <cell r="B48">
            <v>11808</v>
          </cell>
          <cell r="C48" t="str">
            <v>Ячейка ТП-8 №1</v>
          </cell>
          <cell r="D48" t="str">
            <v>КСО-2УМ</v>
          </cell>
          <cell r="E48" t="str">
            <v>?РП-4</v>
          </cell>
          <cell r="F48">
            <v>1964</v>
          </cell>
          <cell r="G48">
            <v>21275.65</v>
          </cell>
          <cell r="H48">
            <v>0</v>
          </cell>
          <cell r="I48" t="str">
            <v>Длина 1200 мм; ширина 1200 мм; высота 3100 мм; вес 0,9 т</v>
          </cell>
        </row>
        <row r="49">
          <cell r="A49">
            <v>47</v>
          </cell>
          <cell r="B49">
            <v>11821</v>
          </cell>
          <cell r="C49" t="str">
            <v>Трансформатор №2</v>
          </cell>
          <cell r="D49" t="str">
            <v>ТМ-1020/10</v>
          </cell>
          <cell r="E49" t="str">
            <v>???</v>
          </cell>
          <cell r="F49">
            <v>1965</v>
          </cell>
          <cell r="G49">
            <v>54800.93</v>
          </cell>
          <cell r="I49" t="str">
            <v>Длина 2750 мм; ширина 1700 мм; высота 3100 мм; вес 4,6 т</v>
          </cell>
        </row>
        <row r="50">
          <cell r="A50">
            <v>48</v>
          </cell>
          <cell r="B50">
            <v>11856</v>
          </cell>
          <cell r="C50" t="str">
            <v>Трансформатор</v>
          </cell>
          <cell r="D50" t="str">
            <v>ТСМА-560/6</v>
          </cell>
          <cell r="E50" t="str">
            <v>ЦРП-4</v>
          </cell>
          <cell r="F50">
            <v>1967</v>
          </cell>
          <cell r="G50">
            <v>51899.7</v>
          </cell>
          <cell r="H50">
            <v>0</v>
          </cell>
          <cell r="I50" t="str">
            <v>Длина 2200 мм; ширина 1300 мм; высота 2200 мм; вес 3,0 т</v>
          </cell>
        </row>
        <row r="51">
          <cell r="A51">
            <v>49</v>
          </cell>
          <cell r="B51">
            <v>11866</v>
          </cell>
          <cell r="C51" t="str">
            <v>Трансформатор</v>
          </cell>
          <cell r="D51" t="str">
            <v>ТМ-400/6</v>
          </cell>
          <cell r="E51" t="str">
            <v>ТП-13</v>
          </cell>
          <cell r="F51">
            <v>1980</v>
          </cell>
          <cell r="G51">
            <v>19663.86</v>
          </cell>
          <cell r="H51">
            <v>2792.85</v>
          </cell>
          <cell r="I51" t="str">
            <v>Длина 1118 мм; ширина 900 мм; высота 1750 мм; вес 1,9 т</v>
          </cell>
        </row>
        <row r="52">
          <cell r="A52">
            <v>50</v>
          </cell>
          <cell r="B52">
            <v>11867</v>
          </cell>
          <cell r="C52" t="str">
            <v>Трансформатор</v>
          </cell>
          <cell r="D52" t="str">
            <v>ТМ-400/6</v>
          </cell>
          <cell r="E52" t="str">
            <v>ТП-45</v>
          </cell>
          <cell r="F52">
            <v>1980</v>
          </cell>
          <cell r="G52">
            <v>19663.86</v>
          </cell>
          <cell r="H52">
            <v>2792.85</v>
          </cell>
          <cell r="I52" t="str">
            <v>Длина 1118 мм; ширина 900 мм; высота 1750 мм; вес 1,9 т</v>
          </cell>
        </row>
        <row r="53">
          <cell r="A53">
            <v>51</v>
          </cell>
          <cell r="B53">
            <v>11871</v>
          </cell>
          <cell r="C53" t="str">
            <v>Трансформатор</v>
          </cell>
          <cell r="D53" t="str">
            <v>TTV-630/6</v>
          </cell>
          <cell r="E53" t="str">
            <v>ТП-45</v>
          </cell>
          <cell r="F53">
            <v>1962</v>
          </cell>
          <cell r="G53">
            <v>67372.91</v>
          </cell>
          <cell r="H53">
            <v>0</v>
          </cell>
          <cell r="I53" t="str">
            <v>Длина 1850 мм; ширина 1200 мм; высота 2500 мм; вес 3,0 т</v>
          </cell>
        </row>
        <row r="54">
          <cell r="A54">
            <v>52</v>
          </cell>
          <cell r="B54">
            <v>11931</v>
          </cell>
          <cell r="C54" t="str">
            <v>Ячейка фидера "К"</v>
          </cell>
          <cell r="D54" t="str">
            <v>КСО-2УМ</v>
          </cell>
          <cell r="E54" t="str">
            <v>ЦРП-14</v>
          </cell>
          <cell r="F54">
            <v>1957</v>
          </cell>
          <cell r="G54">
            <v>21275.65</v>
          </cell>
          <cell r="H54">
            <v>0</v>
          </cell>
          <cell r="I54" t="str">
            <v>Длина 1200 мм; ширина 1200 мм; высота 3100 мм; вес 0,9 т</v>
          </cell>
        </row>
        <row r="55">
          <cell r="A55">
            <v>53</v>
          </cell>
          <cell r="B55">
            <v>11932</v>
          </cell>
          <cell r="C55" t="str">
            <v>Ячейка фидера "Л-2"</v>
          </cell>
          <cell r="D55" t="str">
            <v>КСО-2УМ</v>
          </cell>
          <cell r="E55" t="str">
            <v>ЦРП-14</v>
          </cell>
          <cell r="F55">
            <v>1957</v>
          </cell>
          <cell r="G55">
            <v>21275.65</v>
          </cell>
          <cell r="H55">
            <v>0</v>
          </cell>
          <cell r="I55" t="str">
            <v>Длина 1200 мм; ширина 1200 мм; высота 3100 мм; вес 0,9 т</v>
          </cell>
        </row>
        <row r="56">
          <cell r="A56">
            <v>54</v>
          </cell>
          <cell r="B56">
            <v>11933</v>
          </cell>
          <cell r="C56" t="str">
            <v>Ячейка фидера "Резерв"</v>
          </cell>
          <cell r="D56" t="str">
            <v>КСО-2УМ</v>
          </cell>
          <cell r="E56" t="str">
            <v>ЦРП-14</v>
          </cell>
          <cell r="F56">
            <v>1957</v>
          </cell>
          <cell r="G56">
            <v>21275.65</v>
          </cell>
          <cell r="H56">
            <v>0</v>
          </cell>
          <cell r="I56" t="str">
            <v>Длина 1200 мм; ширина 1200 мм; высота 3100 мм; вес 0,9 т</v>
          </cell>
        </row>
        <row r="57">
          <cell r="A57">
            <v>55</v>
          </cell>
          <cell r="B57">
            <v>11934</v>
          </cell>
          <cell r="C57" t="str">
            <v>Ячейка фидера "Резерв"</v>
          </cell>
          <cell r="D57" t="str">
            <v>?</v>
          </cell>
          <cell r="E57" t="str">
            <v>ЦРП-12</v>
          </cell>
          <cell r="F57">
            <v>1970</v>
          </cell>
          <cell r="G57">
            <v>12185.15</v>
          </cell>
          <cell r="H57">
            <v>0</v>
          </cell>
          <cell r="I57" t="str">
            <v>Длина 2700 мм; ширина 1600 мм; высота 4000 мм; вес 0,8 т</v>
          </cell>
        </row>
        <row r="58">
          <cell r="A58">
            <v>56</v>
          </cell>
          <cell r="B58">
            <v>11966</v>
          </cell>
          <cell r="C58" t="str">
            <v>Распредщит</v>
          </cell>
          <cell r="E58" t="str">
            <v>ЦРП-4</v>
          </cell>
          <cell r="F58">
            <v>1964</v>
          </cell>
          <cell r="G58">
            <v>224361.45</v>
          </cell>
          <cell r="H58">
            <v>0</v>
          </cell>
          <cell r="I58" t="str">
            <v>?</v>
          </cell>
        </row>
        <row r="59">
          <cell r="A59">
            <v>57</v>
          </cell>
          <cell r="B59">
            <v>19198</v>
          </cell>
          <cell r="C59" t="str">
            <v>Камера</v>
          </cell>
          <cell r="D59" t="str">
            <v>КСО-272</v>
          </cell>
          <cell r="E59" t="str">
            <v>ЦРП-7</v>
          </cell>
          <cell r="F59">
            <v>1981</v>
          </cell>
          <cell r="G59">
            <v>23689.41</v>
          </cell>
          <cell r="H59">
            <v>4406.5200000000004</v>
          </cell>
          <cell r="I59" t="str">
            <v>Ширина 1200 мм; глубина 1000 мм; высота 2900 мм; вес 0,7 т</v>
          </cell>
        </row>
        <row r="60">
          <cell r="A60">
            <v>58</v>
          </cell>
          <cell r="B60">
            <v>19199</v>
          </cell>
          <cell r="C60" t="str">
            <v>Камера</v>
          </cell>
          <cell r="D60" t="str">
            <v>КСО-272</v>
          </cell>
          <cell r="E60" t="str">
            <v>ЦРП-7</v>
          </cell>
          <cell r="F60">
            <v>1981</v>
          </cell>
          <cell r="G60">
            <v>23689.41</v>
          </cell>
          <cell r="H60">
            <v>4406.5200000000004</v>
          </cell>
          <cell r="I60" t="str">
            <v>Ширина 1200 мм; глубина 1000 мм; высота 2900 мм; вес 0,7 т</v>
          </cell>
        </row>
        <row r="61">
          <cell r="A61">
            <v>59</v>
          </cell>
          <cell r="B61">
            <v>19200</v>
          </cell>
          <cell r="C61" t="str">
            <v>Камера</v>
          </cell>
          <cell r="D61" t="str">
            <v>КСО-272</v>
          </cell>
          <cell r="E61" t="str">
            <v>ЦРП-?</v>
          </cell>
          <cell r="F61">
            <v>1981</v>
          </cell>
          <cell r="G61">
            <v>23689.41</v>
          </cell>
          <cell r="H61">
            <v>4406.5200000000004</v>
          </cell>
          <cell r="I61" t="str">
            <v>Ширина 1200 мм; глубина 1000 мм; высота 2900 мм; вес 0,7 т</v>
          </cell>
        </row>
        <row r="62">
          <cell r="A62">
            <v>60</v>
          </cell>
          <cell r="B62">
            <v>19201</v>
          </cell>
          <cell r="C62" t="str">
            <v>Камера</v>
          </cell>
          <cell r="D62" t="str">
            <v>КСО-272</v>
          </cell>
          <cell r="E62" t="str">
            <v>ЦРП-?</v>
          </cell>
          <cell r="F62">
            <v>1981</v>
          </cell>
          <cell r="G62">
            <v>23689.41</v>
          </cell>
          <cell r="H62">
            <v>4406.5200000000004</v>
          </cell>
          <cell r="I62" t="str">
            <v>Ширина 1200 мм; глубина 1000 мм; высота 2900 мм; вес 0,7 т</v>
          </cell>
        </row>
        <row r="63">
          <cell r="A63">
            <v>61</v>
          </cell>
          <cell r="B63">
            <v>19202</v>
          </cell>
          <cell r="C63" t="str">
            <v>Камера</v>
          </cell>
          <cell r="D63" t="str">
            <v>КСО-272</v>
          </cell>
          <cell r="E63" t="str">
            <v>ЦРП-7</v>
          </cell>
          <cell r="F63">
            <v>1981</v>
          </cell>
          <cell r="G63">
            <v>23689.41</v>
          </cell>
          <cell r="H63">
            <v>4406.5200000000004</v>
          </cell>
          <cell r="I63" t="str">
            <v>Ширина 1200 мм; глубина 1000 мм; высота 2900 мм; вес 0,7 т</v>
          </cell>
        </row>
        <row r="64">
          <cell r="A64">
            <v>62</v>
          </cell>
          <cell r="B64">
            <v>19203</v>
          </cell>
          <cell r="C64" t="str">
            <v>Камера</v>
          </cell>
          <cell r="D64" t="str">
            <v>КСО-272</v>
          </cell>
          <cell r="E64" t="str">
            <v>ЦРП-7</v>
          </cell>
          <cell r="F64">
            <v>1981</v>
          </cell>
          <cell r="G64">
            <v>23689.41</v>
          </cell>
          <cell r="H64">
            <v>4406.5200000000004</v>
          </cell>
          <cell r="I64" t="str">
            <v>Ширина 1200 мм; глубина 1000 мм; высота 2900 мм; вес 0,7 т</v>
          </cell>
        </row>
        <row r="65">
          <cell r="A65">
            <v>63</v>
          </cell>
          <cell r="B65">
            <v>19204</v>
          </cell>
          <cell r="C65" t="str">
            <v>Камера</v>
          </cell>
          <cell r="D65" t="str">
            <v>КСО-272</v>
          </cell>
          <cell r="E65" t="str">
            <v>ЦРП-7</v>
          </cell>
          <cell r="F65">
            <v>1981</v>
          </cell>
          <cell r="G65">
            <v>23689.41</v>
          </cell>
          <cell r="H65">
            <v>4406.5200000000004</v>
          </cell>
          <cell r="I65" t="str">
            <v>Ширина 1200 мм; глубина 1000 мм; высота 2900 мм; вес 0,7 т</v>
          </cell>
        </row>
        <row r="66">
          <cell r="A66">
            <v>64</v>
          </cell>
          <cell r="B66">
            <v>19205</v>
          </cell>
          <cell r="C66" t="str">
            <v>Камера</v>
          </cell>
          <cell r="D66" t="str">
            <v>КСО-272</v>
          </cell>
          <cell r="E66" t="str">
            <v>ЦРП-7</v>
          </cell>
          <cell r="F66">
            <v>1981</v>
          </cell>
          <cell r="G66">
            <v>23689.41</v>
          </cell>
          <cell r="H66">
            <v>4406.5200000000004</v>
          </cell>
          <cell r="I66" t="str">
            <v>Ширина 1200 мм; глубина 1000 мм; высота 2900 мм; вес 0,7 т</v>
          </cell>
        </row>
        <row r="67">
          <cell r="A67">
            <v>65</v>
          </cell>
          <cell r="B67">
            <v>19206</v>
          </cell>
          <cell r="C67" t="str">
            <v>Камера</v>
          </cell>
          <cell r="D67" t="str">
            <v>КСО-272</v>
          </cell>
          <cell r="E67" t="str">
            <v>ЦРП-7</v>
          </cell>
          <cell r="F67">
            <v>1981</v>
          </cell>
          <cell r="G67">
            <v>23689.41</v>
          </cell>
          <cell r="H67">
            <v>4406.5200000000004</v>
          </cell>
          <cell r="I67" t="str">
            <v>Ширина 1200 мм; глубина 1000 мм; высота 2900 мм; вес 0,7 т</v>
          </cell>
        </row>
        <row r="68">
          <cell r="A68">
            <v>66</v>
          </cell>
          <cell r="B68">
            <v>19207</v>
          </cell>
          <cell r="C68" t="str">
            <v>Камера</v>
          </cell>
          <cell r="D68" t="str">
            <v>КСО-272</v>
          </cell>
          <cell r="E68" t="str">
            <v>ЦРП-7</v>
          </cell>
          <cell r="F68">
            <v>1981</v>
          </cell>
          <cell r="G68">
            <v>23689.41</v>
          </cell>
          <cell r="H68">
            <v>4406.5200000000004</v>
          </cell>
          <cell r="I68" t="str">
            <v>Ширина 1200 мм; глубина 1000 мм; высота 2900 мм; вес 0,7 т</v>
          </cell>
        </row>
        <row r="69">
          <cell r="A69">
            <v>67</v>
          </cell>
          <cell r="B69">
            <v>19208</v>
          </cell>
          <cell r="C69" t="str">
            <v>Камера</v>
          </cell>
          <cell r="D69" t="str">
            <v>КСО-272</v>
          </cell>
          <cell r="E69" t="str">
            <v>ЦРП-?</v>
          </cell>
          <cell r="F69">
            <v>1981</v>
          </cell>
          <cell r="G69">
            <v>23689.41</v>
          </cell>
          <cell r="H69">
            <v>4406.5200000000004</v>
          </cell>
          <cell r="I69" t="str">
            <v>Ширина 1200 мм; глубина 1000 мм; высота 2900 мм; вес 0,7 т</v>
          </cell>
        </row>
        <row r="70">
          <cell r="A70">
            <v>68</v>
          </cell>
          <cell r="B70">
            <v>19209</v>
          </cell>
          <cell r="C70" t="str">
            <v>Камера</v>
          </cell>
          <cell r="D70" t="str">
            <v>КСО-272</v>
          </cell>
          <cell r="E70" t="str">
            <v>ЦРП-7</v>
          </cell>
          <cell r="F70">
            <v>1981</v>
          </cell>
          <cell r="G70">
            <v>23689.41</v>
          </cell>
          <cell r="H70">
            <v>4406.5200000000004</v>
          </cell>
          <cell r="I70" t="str">
            <v>Ширина 1200 мм; глубина 1000 мм; высота 2900 мм; вес 0,7 т</v>
          </cell>
        </row>
        <row r="71">
          <cell r="A71">
            <v>69</v>
          </cell>
          <cell r="B71">
            <v>19210</v>
          </cell>
          <cell r="C71" t="str">
            <v>Камера</v>
          </cell>
          <cell r="D71" t="str">
            <v>КСО-272</v>
          </cell>
          <cell r="E71" t="str">
            <v>ЦРП-?</v>
          </cell>
          <cell r="F71">
            <v>1981</v>
          </cell>
          <cell r="G71">
            <v>23689.41</v>
          </cell>
          <cell r="H71">
            <v>4406.5200000000004</v>
          </cell>
          <cell r="I71" t="str">
            <v>Ширина 1200 мм; глубина 1000 мм; высота 2900 мм; вес 0,7 т</v>
          </cell>
        </row>
        <row r="72">
          <cell r="A72">
            <v>70</v>
          </cell>
          <cell r="B72">
            <v>19211</v>
          </cell>
          <cell r="C72" t="str">
            <v>Камера</v>
          </cell>
          <cell r="D72" t="str">
            <v>КСО-272</v>
          </cell>
          <cell r="E72" t="str">
            <v>ЦРП-?</v>
          </cell>
          <cell r="F72">
            <v>1981</v>
          </cell>
          <cell r="G72">
            <v>23689.41</v>
          </cell>
          <cell r="H72">
            <v>4406.5200000000004</v>
          </cell>
          <cell r="I72" t="str">
            <v>Ширина 1200 мм; глубина 1000 мм; высота 2900 мм; вес 0,7 т</v>
          </cell>
        </row>
        <row r="73">
          <cell r="A73">
            <v>71</v>
          </cell>
          <cell r="B73">
            <v>19212</v>
          </cell>
          <cell r="C73" t="str">
            <v>Камера</v>
          </cell>
          <cell r="D73" t="str">
            <v>КСО-272</v>
          </cell>
          <cell r="E73" t="str">
            <v>ЦРП-?</v>
          </cell>
          <cell r="F73">
            <v>1981</v>
          </cell>
          <cell r="G73">
            <v>23689.41</v>
          </cell>
          <cell r="H73">
            <v>4406.5200000000004</v>
          </cell>
          <cell r="I73" t="str">
            <v>Ширина 1200 мм; глубина 1000 мм; высота 2900 мм; вес 0,7 т</v>
          </cell>
        </row>
        <row r="74">
          <cell r="A74">
            <v>72</v>
          </cell>
          <cell r="B74">
            <v>19213</v>
          </cell>
          <cell r="C74" t="str">
            <v>Камера</v>
          </cell>
          <cell r="D74" t="str">
            <v>КСО-272</v>
          </cell>
          <cell r="E74" t="str">
            <v>ЦРП-?</v>
          </cell>
          <cell r="F74">
            <v>1981</v>
          </cell>
          <cell r="G74">
            <v>23689.41</v>
          </cell>
          <cell r="H74">
            <v>4406.5200000000004</v>
          </cell>
          <cell r="I74" t="str">
            <v>Ширина 1200 мм; глубина 1000 мм; высота 2900 мм; вес 0,7 т</v>
          </cell>
        </row>
        <row r="75">
          <cell r="A75">
            <v>73</v>
          </cell>
          <cell r="B75">
            <v>19214</v>
          </cell>
          <cell r="C75" t="str">
            <v>Камера</v>
          </cell>
          <cell r="D75" t="str">
            <v>КСО-272</v>
          </cell>
          <cell r="E75" t="str">
            <v>ЦРП-?</v>
          </cell>
          <cell r="F75">
            <v>1981</v>
          </cell>
          <cell r="G75">
            <v>23689.41</v>
          </cell>
          <cell r="H75">
            <v>4406.5200000000004</v>
          </cell>
          <cell r="I75" t="str">
            <v>Ширина 1200 мм; глубина 1000 мм; высота 2900 мм; вес 0,7 т</v>
          </cell>
        </row>
        <row r="76">
          <cell r="A76">
            <v>74</v>
          </cell>
          <cell r="B76">
            <v>19215</v>
          </cell>
          <cell r="C76" t="str">
            <v>Камера</v>
          </cell>
          <cell r="D76" t="str">
            <v>КСО-272</v>
          </cell>
          <cell r="E76" t="str">
            <v>ЦРП-?</v>
          </cell>
          <cell r="F76">
            <v>1981</v>
          </cell>
          <cell r="G76">
            <v>23689.41</v>
          </cell>
          <cell r="H76">
            <v>4406.5200000000004</v>
          </cell>
          <cell r="I76" t="str">
            <v>Ширина 1200 мм; глубина 1000 мм; высота 2900 мм; вес 0,7 т</v>
          </cell>
        </row>
        <row r="77">
          <cell r="A77">
            <v>75</v>
          </cell>
          <cell r="B77">
            <v>32268</v>
          </cell>
          <cell r="C77" t="str">
            <v>Ячейка "ЦРП-1 №1"</v>
          </cell>
          <cell r="E77" t="str">
            <v>ЦРП-6</v>
          </cell>
          <cell r="F77">
            <v>1954</v>
          </cell>
          <cell r="G77">
            <v>21275.65</v>
          </cell>
          <cell r="H77">
            <v>0</v>
          </cell>
          <cell r="I77" t="str">
            <v>Длина 2700 мм; ширина 1600 мм; высота 4000 мм; вес 0,8 т</v>
          </cell>
        </row>
        <row r="78">
          <cell r="A78">
            <v>76</v>
          </cell>
          <cell r="B78">
            <v>32270</v>
          </cell>
          <cell r="C78" t="str">
            <v>Ячейка ВМГ-133</v>
          </cell>
          <cell r="E78" t="str">
            <v>ЦРП-6</v>
          </cell>
          <cell r="F78">
            <v>1962</v>
          </cell>
          <cell r="G78">
            <v>21275.65</v>
          </cell>
          <cell r="H78">
            <v>0</v>
          </cell>
          <cell r="I78" t="str">
            <v>Длина 2700 мм; ширина 1600 мм; высота 4000 мм; вес 0,8 т</v>
          </cell>
        </row>
        <row r="79">
          <cell r="A79">
            <v>77</v>
          </cell>
          <cell r="B79">
            <v>32272</v>
          </cell>
          <cell r="C79" t="str">
            <v>Ячейка ВМГ-133 "БРУ"</v>
          </cell>
          <cell r="E79" t="str">
            <v>ЦРП-6</v>
          </cell>
          <cell r="F79">
            <v>1970</v>
          </cell>
          <cell r="G79">
            <v>21275.65</v>
          </cell>
          <cell r="H79">
            <v>0</v>
          </cell>
          <cell r="I79" t="str">
            <v>Длина 2700 мм; ширина 1600 мм; высота 4000 мм; вес 0,8 т</v>
          </cell>
        </row>
        <row r="80">
          <cell r="A80">
            <v>78</v>
          </cell>
          <cell r="B80">
            <v>32273</v>
          </cell>
          <cell r="C80" t="str">
            <v>Трансформатор</v>
          </cell>
          <cell r="D80" t="str">
            <v>ТМ-560</v>
          </cell>
          <cell r="E80" t="str">
            <v>ТП-8</v>
          </cell>
          <cell r="F80">
            <v>1964</v>
          </cell>
          <cell r="G80">
            <v>51899.7</v>
          </cell>
          <cell r="H80">
            <v>0</v>
          </cell>
          <cell r="I80" t="str">
            <v>Длина 2010 мм; ширина 1200 мм; высота 3500 мм; вес 3,5 т</v>
          </cell>
        </row>
        <row r="81">
          <cell r="A81">
            <v>79</v>
          </cell>
          <cell r="B81">
            <v>32274</v>
          </cell>
          <cell r="C81" t="str">
            <v>Трансформатор</v>
          </cell>
          <cell r="D81" t="str">
            <v>ТМ-560</v>
          </cell>
          <cell r="E81" t="str">
            <v>ТП-8</v>
          </cell>
          <cell r="F81">
            <v>1964</v>
          </cell>
          <cell r="G81">
            <v>51899.7</v>
          </cell>
          <cell r="H81">
            <v>0</v>
          </cell>
          <cell r="I81" t="str">
            <v>Длина 2010 мм; ширина 1200 мм; высота 3500 мм; вес 3,5 т</v>
          </cell>
        </row>
        <row r="82">
          <cell r="A82">
            <v>80</v>
          </cell>
          <cell r="B82">
            <v>37267</v>
          </cell>
          <cell r="C82" t="str">
            <v>Ячейка "ЦРП-1 №2"</v>
          </cell>
          <cell r="E82" t="str">
            <v>ЦРП-6</v>
          </cell>
          <cell r="F82">
            <v>1958</v>
          </cell>
          <cell r="G82">
            <v>21275.65</v>
          </cell>
          <cell r="H82">
            <v>0</v>
          </cell>
          <cell r="I82" t="str">
            <v>?</v>
          </cell>
        </row>
        <row r="83">
          <cell r="A83">
            <v>81</v>
          </cell>
          <cell r="B83">
            <v>65152</v>
          </cell>
          <cell r="C83" t="str">
            <v>Ячейка тр-р напряж</v>
          </cell>
          <cell r="D83" t="str">
            <v>КСО-2УМ</v>
          </cell>
          <cell r="E83" t="str">
            <v>ЦРП-?</v>
          </cell>
          <cell r="F83">
            <v>1964</v>
          </cell>
          <cell r="G83">
            <v>14570.6</v>
          </cell>
          <cell r="H83">
            <v>0</v>
          </cell>
          <cell r="I83" t="str">
            <v>Длина 1200 мм; ширина 1200 мм; высота 3100 мм; вес 0,9 т</v>
          </cell>
        </row>
        <row r="84">
          <cell r="A84">
            <v>82</v>
          </cell>
          <cell r="B84">
            <v>65153</v>
          </cell>
          <cell r="C84" t="str">
            <v>Ячейка сил. тр-р №1</v>
          </cell>
          <cell r="D84" t="str">
            <v>КСО-2УМ</v>
          </cell>
          <cell r="E84" t="str">
            <v>ЦРП-?</v>
          </cell>
          <cell r="F84">
            <v>1964</v>
          </cell>
          <cell r="G84">
            <v>21275.65</v>
          </cell>
          <cell r="H84">
            <v>0</v>
          </cell>
          <cell r="I84" t="str">
            <v>Длина 1200 мм; ширина 1200 мм; высота 3100 мм; вес 0,9 т</v>
          </cell>
        </row>
        <row r="85">
          <cell r="A85">
            <v>83</v>
          </cell>
          <cell r="B85">
            <v>65157</v>
          </cell>
          <cell r="C85" t="str">
            <v>Ячейка ТЭЦ-2 №1</v>
          </cell>
          <cell r="D85" t="str">
            <v>КСО-2УМ</v>
          </cell>
          <cell r="E85" t="str">
            <v>ЦРП-4</v>
          </cell>
          <cell r="F85">
            <v>1964</v>
          </cell>
          <cell r="G85">
            <v>21275.65</v>
          </cell>
          <cell r="H85">
            <v>0</v>
          </cell>
          <cell r="I85" t="str">
            <v>Длина 1200 мм; ширина 1200 мм; высота 3100 мм; вес 0,9 т</v>
          </cell>
        </row>
        <row r="86">
          <cell r="A86">
            <v>84</v>
          </cell>
          <cell r="B86">
            <v>65179</v>
          </cell>
          <cell r="C86" t="str">
            <v>Ячейка "Резерв №1"</v>
          </cell>
          <cell r="D86" t="str">
            <v>КСО-2УМ</v>
          </cell>
          <cell r="E86" t="str">
            <v>ЦРП-?</v>
          </cell>
          <cell r="F86">
            <v>1964</v>
          </cell>
          <cell r="G86">
            <v>21275.65</v>
          </cell>
          <cell r="H86">
            <v>0</v>
          </cell>
          <cell r="I86" t="str">
            <v>Длина 1200 мм; ширина 1200 мм; высота 3100 мм; вес 0,9 т</v>
          </cell>
        </row>
        <row r="87">
          <cell r="A87">
            <v>85</v>
          </cell>
          <cell r="B87">
            <v>65180</v>
          </cell>
          <cell r="C87" t="str">
            <v>Ячейка "Резерв №2"</v>
          </cell>
          <cell r="D87" t="str">
            <v>КСО-2УМ</v>
          </cell>
          <cell r="E87" t="str">
            <v>ЦРП-?</v>
          </cell>
          <cell r="F87">
            <v>1964</v>
          </cell>
          <cell r="G87">
            <v>21275.65</v>
          </cell>
          <cell r="H87">
            <v>0</v>
          </cell>
          <cell r="I87" t="str">
            <v>Длина 1200 мм; ширина 1200 мм; высота 3100 мм; вес 0,9 т</v>
          </cell>
        </row>
        <row r="88">
          <cell r="A88">
            <v>86</v>
          </cell>
          <cell r="B88">
            <v>65182</v>
          </cell>
          <cell r="C88" t="str">
            <v>Ячейка "ТП-7 №1"</v>
          </cell>
          <cell r="D88" t="str">
            <v>КСО-2УМ</v>
          </cell>
          <cell r="E88" t="str">
            <v>ЦРП-4</v>
          </cell>
          <cell r="F88">
            <v>1964</v>
          </cell>
          <cell r="G88">
            <v>21275.65</v>
          </cell>
          <cell r="H88">
            <v>0</v>
          </cell>
          <cell r="I88" t="str">
            <v>Длина 1200 мм; ширина 1200 мм; высота 3100 мм; вес 0,9 т</v>
          </cell>
        </row>
        <row r="89">
          <cell r="A89">
            <v>87</v>
          </cell>
          <cell r="B89">
            <v>66490</v>
          </cell>
          <cell r="C89" t="str">
            <v>Трансформатор</v>
          </cell>
          <cell r="D89" t="str">
            <v>АТОВ-800</v>
          </cell>
          <cell r="E89" t="str">
            <v>ТП-?</v>
          </cell>
          <cell r="F89">
            <v>1964</v>
          </cell>
          <cell r="G89">
            <v>67372.91</v>
          </cell>
          <cell r="H89">
            <v>0</v>
          </cell>
          <cell r="I89" t="str">
            <v>Длина 2120 мм; ширина 1325 мм; высота 2280 мм; вес 4,0 т</v>
          </cell>
        </row>
        <row r="90">
          <cell r="A90">
            <v>88</v>
          </cell>
          <cell r="B90">
            <v>66491</v>
          </cell>
          <cell r="C90" t="str">
            <v>Трансформатор</v>
          </cell>
          <cell r="D90" t="str">
            <v>АТОВ-800</v>
          </cell>
          <cell r="E90" t="str">
            <v>ТП-?</v>
          </cell>
          <cell r="F90">
            <v>1963</v>
          </cell>
          <cell r="G90">
            <v>67372.91</v>
          </cell>
          <cell r="H90">
            <v>0</v>
          </cell>
          <cell r="I90" t="str">
            <v>Длина 2120 мм; ширина 1325 мм; высота 2280 мм; вес 4,0 т</v>
          </cell>
        </row>
        <row r="91">
          <cell r="A91">
            <v>89</v>
          </cell>
          <cell r="B91">
            <v>91034</v>
          </cell>
          <cell r="C91" t="str">
            <v>Ячейка "Поролон №2"</v>
          </cell>
          <cell r="E91" t="str">
            <v>ЦРП-4</v>
          </cell>
          <cell r="F91">
            <v>1964</v>
          </cell>
          <cell r="G91">
            <v>21275.65</v>
          </cell>
          <cell r="H91">
            <v>0</v>
          </cell>
          <cell r="I91" t="str">
            <v>?</v>
          </cell>
        </row>
        <row r="92">
          <cell r="A92">
            <v>90</v>
          </cell>
          <cell r="B92">
            <v>91035</v>
          </cell>
          <cell r="C92" t="str">
            <v>Ячейка "Поролон №1"</v>
          </cell>
          <cell r="E92" t="str">
            <v>ЦРП-4</v>
          </cell>
          <cell r="F92">
            <v>1964</v>
          </cell>
          <cell r="G92">
            <v>21275.65</v>
          </cell>
          <cell r="H92">
            <v>0</v>
          </cell>
          <cell r="I92" t="str">
            <v>?</v>
          </cell>
        </row>
        <row r="93">
          <cell r="A93">
            <v>91</v>
          </cell>
          <cell r="B93">
            <v>91036</v>
          </cell>
          <cell r="C93" t="str">
            <v>Ячейка "Ц. 24 №1"</v>
          </cell>
          <cell r="F93">
            <v>1969</v>
          </cell>
          <cell r="G93">
            <v>21275.65</v>
          </cell>
          <cell r="H93">
            <v>0</v>
          </cell>
        </row>
        <row r="94">
          <cell r="A94">
            <v>92</v>
          </cell>
          <cell r="B94">
            <v>91037</v>
          </cell>
          <cell r="C94" t="str">
            <v>Ячейка "Ц. 24 №2"</v>
          </cell>
          <cell r="F94">
            <v>1971</v>
          </cell>
          <cell r="G94">
            <v>21275.65</v>
          </cell>
          <cell r="H94">
            <v>0</v>
          </cell>
        </row>
        <row r="95">
          <cell r="A95">
            <v>93</v>
          </cell>
          <cell r="B95">
            <v>11870</v>
          </cell>
          <cell r="C95" t="str">
            <v>Экскаватор</v>
          </cell>
          <cell r="D95" t="str">
            <v>ЭТЦ-16-7</v>
          </cell>
          <cell r="F95">
            <v>1991</v>
          </cell>
          <cell r="G95">
            <v>80000</v>
          </cell>
          <cell r="H95">
            <v>18120.52</v>
          </cell>
        </row>
        <row r="96">
          <cell r="A96">
            <v>94</v>
          </cell>
          <cell r="B96">
            <v>11579</v>
          </cell>
          <cell r="C96" t="str">
            <v>Автошасси</v>
          </cell>
          <cell r="D96" t="str">
            <v>ЗИЛ-131</v>
          </cell>
          <cell r="F96">
            <v>1991</v>
          </cell>
          <cell r="G96">
            <v>9769</v>
          </cell>
          <cell r="H96">
            <v>0</v>
          </cell>
        </row>
        <row r="97">
          <cell r="A97">
            <v>95</v>
          </cell>
          <cell r="B97">
            <v>11580</v>
          </cell>
          <cell r="C97" t="str">
            <v>Автомобиль</v>
          </cell>
          <cell r="D97" t="str">
            <v>УАЗ-3303</v>
          </cell>
          <cell r="F97">
            <v>1993</v>
          </cell>
          <cell r="G97">
            <v>27000</v>
          </cell>
          <cell r="H97">
            <v>294.75</v>
          </cell>
        </row>
        <row r="98">
          <cell r="A98">
            <v>96</v>
          </cell>
          <cell r="B98">
            <v>11759</v>
          </cell>
          <cell r="C98" t="str">
            <v>Электролаборатория на шасси ГАЗ</v>
          </cell>
          <cell r="F98">
            <v>1992</v>
          </cell>
          <cell r="G98">
            <v>113309.61</v>
          </cell>
          <cell r="H98">
            <v>0</v>
          </cell>
        </row>
        <row r="99">
          <cell r="A99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АБ"/>
      <sheetName val="Ф1"/>
      <sheetName val="Ф2"/>
      <sheetName val="ЧА"/>
      <sheetName val="Показател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ника АКТ-АПР"/>
      <sheetName val=" БордюрАкт-АПР"/>
      <sheetName val="Кровля"/>
      <sheetName val="Фундамент"/>
      <sheetName val="Фундамент АКТ-АПР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Сантехника АКТ-Ма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F8" t="str">
            <v>Е27-33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Loans"/>
      <sheetName val="СF"/>
      <sheetName val="ПланФакт"/>
      <sheetName val="Реализация"/>
      <sheetName val="СводныйЭксперт"/>
      <sheetName val="СводныйХаркон"/>
      <sheetName val="СводныйБал-кс"/>
      <sheetName val="СводныйЛион"/>
      <sheetName val="Лист14"/>
      <sheetName val="Сводный ГПБИ GPBI РСЭМ"/>
      <sheetName val="распр Харкон"/>
      <sheetName val="распр Эксперт"/>
      <sheetName val="распр валют.сч.Эксперт"/>
      <sheetName val="распр Бал-кс"/>
      <sheetName val="распр Лион"/>
      <sheetName val="распр РСЭМ"/>
      <sheetName val="р.с Эскперт"/>
      <sheetName val="РСЭМ"/>
      <sheetName val="р.с. Бал-кс"/>
      <sheetName val="постГПБИ"/>
      <sheetName val="выпл ГПБИ"/>
      <sheetName val="постGPBI"/>
      <sheetName val="выплGPBI"/>
      <sheetName val="CF ГПБИ"/>
      <sheetName val="ГLoans"/>
      <sheetName val="Выгрузка Эксперта 51 из 1С"/>
      <sheetName val="Харкон"/>
      <sheetName val="Реализ_исх"/>
      <sheetName val="КУРС"/>
      <sheetName val="экспертПланUSD"/>
      <sheetName val="ЭкспертПланЕвро"/>
      <sheetName val="ХарконПланЕвро"/>
      <sheetName val="ХарконПланДолл"/>
      <sheetName val="справочники"/>
      <sheetName val="распр Эксперт к удалению"/>
      <sheetName val="Лист7"/>
      <sheetName val="Лист1 (2)"/>
      <sheetName val="Лист1"/>
      <sheetName val="Лист4"/>
      <sheetName val="Лист11"/>
      <sheetName val="Лист1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 GPBI</v>
          </cell>
        </row>
        <row r="88">
          <cell r="A88" t="str">
            <v>Прочие расходы ГПБИ</v>
          </cell>
        </row>
        <row r="89">
          <cell r="A89" t="str">
            <v>Прочие расходы</v>
          </cell>
        </row>
        <row r="90">
          <cell r="A90" t="str">
            <v>Займы Эксперту и Балитексу</v>
          </cell>
        </row>
        <row r="91">
          <cell r="A91" t="str">
            <v>реализация домовладений</v>
          </cell>
        </row>
        <row r="92">
          <cell r="A92" t="str">
            <v>Оплата  за 30% долей БАЛИТЭКС"</v>
          </cell>
        </row>
        <row r="93">
          <cell r="A93" t="str">
            <v>Возврат займов Балитекс и Эксперт</v>
          </cell>
        </row>
        <row r="94">
          <cell r="A94" t="str">
            <v>Займы от Эксперта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D6">
            <v>0.12</v>
          </cell>
        </row>
      </sheetData>
      <sheetData sheetId="2" refreshError="1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-ЛССМУ"/>
      <sheetName val="Лист1мфтц"/>
      <sheetName val="Лист1-ЦУН"/>
      <sheetName val="Лист4"/>
      <sheetName val="Лист3"/>
      <sheetName val="Лист4 ПКП"/>
      <sheetName val="Лист3 ПКП"/>
      <sheetName val="ЛистПКП"/>
      <sheetName val="Лист2"/>
      <sheetName val="Лист5"/>
      <sheetName val="до 2001г"/>
      <sheetName val="юрист"/>
      <sheetName val="Должн.на 15.04.03"/>
      <sheetName val="невск"/>
      <sheetName val=" МФТЦ"/>
      <sheetName val="Реклама,Лист1"/>
      <sheetName val="Встр.,Говоров"/>
      <sheetName val="Встр.Говоров,Лист3"/>
      <sheetName val="Лист1"/>
      <sheetName val="должн"/>
      <sheetName val="должники,лист1"/>
      <sheetName val="В.О., МФТЦ, квартал 3АII, корпу"/>
      <sheetName val="В.О"/>
      <sheetName val="Оплата по графикам"/>
      <sheetName val="Лист4_ПКП"/>
      <sheetName val="Лист3_ПКП"/>
      <sheetName val="до_2001г"/>
      <sheetName val="Должн_на_15_04_03"/>
      <sheetName val="_МФТЦ"/>
      <sheetName val="Встр_,Говоров"/>
      <sheetName val="Встр_Говоров,Лист3"/>
      <sheetName val="В_О_,_МФТЦ,_квартал_3АII,_корпу"/>
      <sheetName val="В_О"/>
      <sheetName val="Оплата_по_графикам"/>
      <sheetName val="Лист4_ПКП1"/>
      <sheetName val="Лист3_ПКП1"/>
      <sheetName val="до_2001г1"/>
      <sheetName val="Должн_на_15_04_031"/>
      <sheetName val="_МФТЦ1"/>
      <sheetName val="Встр_,Говоров1"/>
      <sheetName val="Встр_Говоров,Лист31"/>
      <sheetName val="В_О_,_МФТЦ,_квартал_3АII,_корп1"/>
      <sheetName val="В_О1"/>
      <sheetName val="Оплата_по_графикам1"/>
      <sheetName val="Лист4_ПКП2"/>
      <sheetName val="Лист3_ПКП2"/>
      <sheetName val="до_2001г2"/>
      <sheetName val="Должн_на_15_04_032"/>
      <sheetName val="_МФТЦ2"/>
      <sheetName val="Встр_,Говоров2"/>
      <sheetName val="Встр_Говоров,Лист32"/>
      <sheetName val="В_О_,_МФТЦ,_квартал_3АII,_корп2"/>
      <sheetName val="В_О2"/>
      <sheetName val="Оплата_по_графикам2"/>
      <sheetName val="Лист4_ПКП3"/>
      <sheetName val="Лист3_ПКП3"/>
      <sheetName val="до_2001г3"/>
      <sheetName val="Должн_на_15_04_033"/>
      <sheetName val="_МФТЦ3"/>
      <sheetName val="Встр_,Говоров3"/>
      <sheetName val="Встр_Говоров,Лист33"/>
      <sheetName val="В_О_,_МФТЦ,_квартал_3АII,_корп3"/>
      <sheetName val="В_О3"/>
      <sheetName val="Оплата_по_графикам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/>
      <sheetData sheetId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общие данные"/>
      <sheetName val="сводка по земле"/>
      <sheetName val="земля при пустоте"/>
      <sheetName val="земля при капстр"/>
      <sheetName val="земля при складах"/>
      <sheetName val="фун износ"/>
      <sheetName val="вн_износ"/>
      <sheetName val="сводка по затратам"/>
      <sheetName val="Устранимый износ"/>
      <sheetName val="неустр из кж"/>
      <sheetName val="неустр из дж"/>
      <sheetName val="прибыль предп"/>
      <sheetName val="сводка по приб"/>
      <sheetName val="дисконт"/>
      <sheetName val="доходплощ"/>
      <sheetName val="НИ пл"/>
      <sheetName val="доход80"/>
      <sheetName val="НИ 80"/>
      <sheetName val="доход79"/>
      <sheetName val="НИ 79"/>
      <sheetName val="доход62"/>
      <sheetName val="НИ 62"/>
      <sheetName val="доход4"/>
      <sheetName val="НИ 4"/>
      <sheetName val="4 (2)"/>
      <sheetName val="4"/>
      <sheetName val="62 (2)"/>
      <sheetName val="62"/>
      <sheetName val="79 (2)"/>
      <sheetName val="79"/>
      <sheetName val="80(кирп) (2)"/>
      <sheetName val="80(кирп)"/>
      <sheetName val="80(мет) (2)"/>
      <sheetName val="80(мет)"/>
      <sheetName val="80(бет) (2)"/>
      <sheetName val="80(бет)"/>
      <sheetName val="площадка (2)"/>
      <sheetName val="площадка"/>
      <sheetName val="SFF"/>
      <sheetName val="арендная ставка"/>
      <sheetName val="общая сводка"/>
      <sheetName val="сводка по рыночному методу"/>
      <sheetName val="Корпус 80"/>
      <sheetName val="Корпус 79"/>
      <sheetName val="Корпус 62"/>
      <sheetName val="Корпус 4"/>
      <sheetName val="свед"/>
      <sheetName val="СП_КОМПЛЕКС"/>
      <sheetName val="4.озеленение"/>
      <sheetName val="восст"/>
      <sheetName val="Служебный"/>
      <sheetName val="Финансы"/>
      <sheetName val="общие сведения"/>
      <sheetName val="график строительства"/>
      <sheetName val="Инд"/>
      <sheetName val="Коррект"/>
      <sheetName val="Метод остатка"/>
      <sheetName val="график01.09.02"/>
      <sheetName val="общий"/>
      <sheetName val="2.Продажа квартир"/>
      <sheetName val="6.Продажа квартир"/>
      <sheetName val="3.ЗАТРАТЫ"/>
      <sheetName val="Параметры"/>
      <sheetName val="Исходные"/>
      <sheetName val="Начало"/>
      <sheetName val="ЛитБ"/>
      <sheetName val="Base"/>
      <sheetName val="СП  Здания"/>
      <sheetName val="Содержание"/>
      <sheetName val="3.ЗУ "/>
      <sheetName val="1"/>
      <sheetName val="затр_подх"/>
      <sheetName val="исход-итог"/>
      <sheetName val="Пересчет_Склады"/>
      <sheetName val="Док+Исх"/>
      <sheetName val="КО-Инвест"/>
      <sheetName val="Balance"/>
      <sheetName val="tmpB193"/>
      <sheetName val="Справка"/>
      <sheetName val="Лист1"/>
      <sheetName val="1.10.96"/>
      <sheetName val="Sheet2"/>
      <sheetName val="Литер М"/>
      <sheetName val="Исходные_данные"/>
      <sheetName val="VCURS"/>
      <sheetName val="база"/>
      <sheetName val="Monte-Carlo Data"/>
      <sheetName val=" Assumptions"/>
      <sheetName val="Фин модель"/>
      <sheetName val="затрат_нииэфа1"/>
      <sheetName val="общие_данные"/>
      <sheetName val="сводка_по_земле"/>
      <sheetName val="земля_при_пустоте"/>
      <sheetName val="земля_при_капстр"/>
      <sheetName val="земля_при_складах"/>
      <sheetName val="фун_износ"/>
      <sheetName val="сводка_по_затратам"/>
      <sheetName val="Устранимый_износ"/>
      <sheetName val="неустр_из_кж"/>
      <sheetName val="неустр_из_дж"/>
      <sheetName val="прибыль_предп"/>
      <sheetName val="сводка_по_приб"/>
      <sheetName val="НИ_пл"/>
      <sheetName val="НИ_80"/>
      <sheetName val="НИ_79"/>
      <sheetName val="НИ_62"/>
      <sheetName val="НИ_4"/>
      <sheetName val="4_(2)"/>
      <sheetName val="62_(2)"/>
      <sheetName val="79_(2)"/>
      <sheetName val="80(кирп)_(2)"/>
      <sheetName val="80(мет)_(2)"/>
      <sheetName val="80(бет)_(2)"/>
      <sheetName val="площадка_(2)"/>
      <sheetName val="арендная_ставка"/>
      <sheetName val="общая_сводка"/>
      <sheetName val="сводка_по_рыночному_методу"/>
      <sheetName val="Корпус_80"/>
      <sheetName val="Корпус_79"/>
      <sheetName val="Корпус_62"/>
      <sheetName val="Корпус_4"/>
      <sheetName val="Assum."/>
      <sheetName val="Вх"/>
      <sheetName val="контакт с доп согл"/>
      <sheetName val="СВОД"/>
      <sheetName val="Кэш-фло"/>
      <sheetName val="Коды расх"/>
      <sheetName val="CASH FLOW RUR"/>
      <sheetName val="Tab3"/>
      <sheetName val="FES"/>
      <sheetName val="Осн_данные"/>
      <sheetName val="%%"/>
      <sheetName val="Баз предп"/>
      <sheetName val="Изменения"/>
      <sheetName val="1.14"/>
      <sheetName val="1.10"/>
      <sheetName val="Data USA Cdn$"/>
      <sheetName val="Data USA US$"/>
      <sheetName val="Inputs"/>
      <sheetName val="Стоим._стр-ва"/>
      <sheetName val="Итоги"/>
      <sheetName val="Исходные данные"/>
      <sheetName val="Средняя стоимость"/>
      <sheetName val="Const"/>
      <sheetName val="Расчет офисов-рек"/>
      <sheetName val="общие_данные1"/>
      <sheetName val="сводка_по_земле1"/>
      <sheetName val="земля_при_пустоте1"/>
      <sheetName val="земля_при_капстр1"/>
      <sheetName val="земля_при_складах1"/>
      <sheetName val="фун_износ1"/>
      <sheetName val="сводка_по_затратам1"/>
      <sheetName val="Устранимый_износ1"/>
      <sheetName val="неустр_из_кж1"/>
      <sheetName val="неустр_из_дж1"/>
      <sheetName val="прибыль_предп1"/>
      <sheetName val="сводка_по_приб1"/>
      <sheetName val="НИ_пл1"/>
      <sheetName val="НИ_801"/>
      <sheetName val="НИ_791"/>
      <sheetName val="НИ_621"/>
      <sheetName val="НИ_41"/>
      <sheetName val="4_(2)1"/>
      <sheetName val="62_(2)1"/>
      <sheetName val="79_(2)1"/>
      <sheetName val="80(кирп)_(2)1"/>
      <sheetName val="80(мет)_(2)1"/>
      <sheetName val="80(бет)_(2)1"/>
      <sheetName val="площадка_(2)1"/>
      <sheetName val="арендная_ставка1"/>
      <sheetName val="общая_сводка1"/>
      <sheetName val="сводка_по_рыночному_методу1"/>
      <sheetName val="Корпус_801"/>
      <sheetName val="Корпус_791"/>
      <sheetName val="Корпус_621"/>
      <sheetName val="Корпус_41"/>
      <sheetName val="общие_сведения"/>
      <sheetName val="Метод_остатка"/>
      <sheetName val="4_озеленение"/>
      <sheetName val="график_строительства"/>
      <sheetName val="2_Продажа_квартир"/>
      <sheetName val="6_Продажа_квартир"/>
      <sheetName val="3_ЗАТРАТЫ"/>
      <sheetName val="график01_09_02"/>
      <sheetName val="СП__Здания"/>
      <sheetName val="3_ЗУ_"/>
      <sheetName val="Литер_М"/>
      <sheetName val="1_10_96"/>
      <sheetName val="Исходные_данные1"/>
      <sheetName val="Средняя_стоимость"/>
      <sheetName val="Баз_предп"/>
      <sheetName val="1_14"/>
      <sheetName val="1_10"/>
      <sheetName val="контакт_с_доп_согл"/>
      <sheetName val="Monte-Carlo_Data"/>
      <sheetName val="_Assumptions"/>
      <sheetName val="Фин_модель"/>
      <sheetName val="Коды_расх"/>
      <sheetName val="CASH_FLOW_RUR"/>
      <sheetName val="Расчет_офисов-рек"/>
      <sheetName val="АБ"/>
      <sheetName val="Списки"/>
      <sheetName val="общее"/>
      <sheetName val="1.ИСХ"/>
      <sheetName val="документы Кириши"/>
      <sheetName val="инфо"/>
      <sheetName val="НФИк"/>
      <sheetName val="Земля"/>
      <sheetName val="ВхКредит"/>
      <sheetName val="Прогр_кред"/>
      <sheetName val="офисы (2)"/>
      <sheetName val="затраты"/>
      <sheetName val="2000"/>
      <sheetName val="ПВД"/>
      <sheetName val="Консолидация"/>
      <sheetName val="Сквозной расчет"/>
      <sheetName val="Ар2"/>
      <sheetName val="ar"/>
      <sheetName val="Список контрагентов"/>
      <sheetName val="Лист2"/>
      <sheetName val="Ка"/>
      <sheetName val="05г_"/>
      <sheetName val="РМ"/>
      <sheetName val="lfa 2001"/>
      <sheetName val="Коэфф кап по киоску с ЗУ"/>
    </sheetNames>
    <sheetDataSet>
      <sheetData sheetId="0" refreshError="1"/>
      <sheetData sheetId="1" refreshError="1">
        <row r="3">
          <cell r="F3">
            <v>1.6842510283749963</v>
          </cell>
          <cell r="G3">
            <v>1.6626562797697269</v>
          </cell>
          <cell r="H3">
            <v>1.6783708503579164</v>
          </cell>
          <cell r="I3">
            <v>1.6997987050518062</v>
          </cell>
          <cell r="J3">
            <v>1.6638087046407968</v>
          </cell>
          <cell r="K3">
            <v>1.7399142334614128</v>
          </cell>
          <cell r="L3">
            <v>1.485144002963632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  <sheetName val="Исх данные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Стоим_здания"/>
      <sheetName val="Дох_объект"/>
      <sheetName val="Плата за землю"/>
      <sheetName val="Техника_остатка"/>
      <sheetName val="Расчет"/>
      <sheetName val="Зем-СРП"/>
      <sheetName val="МСП_ПДА"/>
      <sheetName val="Взвешенная оценка"/>
      <sheetName val="Исход_инф_"/>
      <sheetName val="Исх дан"/>
      <sheetName val="Предпр.-взвеш. оценка"/>
      <sheetName val="Машины и оборудование"/>
      <sheetName val="Здан-затр"/>
      <sheetName val="Пески сводный реестр"/>
    </sheetNames>
    <sheetDataSet>
      <sheetData sheetId="0">
        <row r="4">
          <cell r="B4">
            <v>29.36</v>
          </cell>
        </row>
        <row r="9">
          <cell r="B9">
            <v>5500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, Нев.4 "/>
      <sheetName val="7 -проемы Н.4"/>
      <sheetName val="6 -кровля Н.4"/>
      <sheetName val="5 -перекр Н.4"/>
      <sheetName val="4 -полы Н.4"/>
      <sheetName val="3 -лестн Н.4"/>
      <sheetName val="2 -стены, перег Н.4"/>
      <sheetName val="1 -фундам Н.4"/>
      <sheetName val="1 _фундам Н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/>
      <sheetData sheetId="3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8">
          <cell r="C8">
            <v>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U4" t="str">
            <v>Земли промышленности</v>
          </cell>
        </row>
        <row r="5">
          <cell r="U5" t="str">
            <v>Под административные объекты</v>
          </cell>
        </row>
        <row r="6">
          <cell r="U6" t="str">
            <v>Поселений: многоэтажная жилая застройка</v>
          </cell>
        </row>
        <row r="7">
          <cell r="U7" t="str">
            <v>Индивидуальное жилищное строительство/Личное подсобное хоз-во</v>
          </cell>
        </row>
        <row r="8">
          <cell r="U8" t="str">
            <v>Дачное строительство</v>
          </cell>
        </row>
        <row r="9">
          <cell r="U9" t="str">
            <v>Земли запаса</v>
          </cell>
        </row>
        <row r="10">
          <cell r="U10" t="str">
            <v>Земли водного фонда</v>
          </cell>
        </row>
        <row r="11">
          <cell r="U11" t="str">
            <v>Сельхоз. земли</v>
          </cell>
        </row>
        <row r="12">
          <cell r="U12" t="str">
            <v>Поселений: строительство объектов сервиса</v>
          </cell>
        </row>
        <row r="13">
          <cell r="U13" t="str">
            <v>Поселений: строительство торговых объектов</v>
          </cell>
        </row>
        <row r="14">
          <cell r="U14" t="str">
            <v>Поселений: рекреационного назначения</v>
          </cell>
        </row>
        <row r="15">
          <cell r="U15" t="str">
            <v>Поселений: прочее</v>
          </cell>
        </row>
        <row r="16">
          <cell r="U16" t="str">
            <v>Земли лесного фонда</v>
          </cell>
        </row>
        <row r="17">
          <cell r="U17" t="str">
            <v>-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Коррект"/>
      <sheetName val="общие данные"/>
      <sheetName val="НФИк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сх. данные"/>
      <sheetName val="ЗП"/>
      <sheetName val="ПП"/>
      <sheetName val="Земля"/>
      <sheetName val="Износ"/>
      <sheetName val="Сравнит"/>
      <sheetName val="ставка"/>
      <sheetName val="дох"/>
      <sheetName val="итоги"/>
      <sheetName val="Исходные"/>
      <sheetName val="НФИк"/>
      <sheetName val="исход-итог"/>
      <sheetName val="Содержание"/>
      <sheetName val="Параметры"/>
      <sheetName val="Rev"/>
      <sheetName val="DCF"/>
      <sheetName val="TOC"/>
      <sheetName val="Стоим._стр-ва"/>
      <sheetName val="Осн_данн"/>
      <sheetName val="Цены"/>
      <sheetName val="Списки"/>
      <sheetName val="Метод остатк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1 Дт. задолженность"/>
      <sheetName val="Пр. №2 Кр. задолженность"/>
      <sheetName val="Пр. №3 Справочник &quot;Контрагенты&quot;"/>
      <sheetName val="НФИ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Zemlja Neh"/>
      <sheetName val="Otapl Neh"/>
      <sheetName val="Admin Neh"/>
      <sheetName val="Ставка"/>
      <sheetName val="svod"/>
      <sheetName val="Док+Исх"/>
      <sheetName val="Расчет тарифов и выручки"/>
      <sheetName val="Группы"/>
      <sheetName val="Balance Sheet"/>
      <sheetName val="ОС"/>
      <sheetName val="СП_КОМПЛЕКС"/>
      <sheetName val="4.озеленение"/>
      <sheetName val="Inputs"/>
      <sheetName val="Пр. №3 Справочник &quot;Контрагенты&quot;"/>
      <sheetName val="НФИк"/>
      <sheetName val="Метод остатка"/>
      <sheetName val="свед"/>
      <sheetName val="Содержание"/>
      <sheetName val="Общие сведения"/>
      <sheetName val="Параметры"/>
      <sheetName val="исход-итог"/>
      <sheetName val="расход"/>
      <sheetName val="Промка"/>
      <sheetName val="Служебный"/>
      <sheetName val="3.ЗАТРАТЫ"/>
      <sheetName val="общие данные"/>
      <sheetName val="Исходное"/>
      <sheetName val="2.Продажа квартир"/>
      <sheetName val="1.ИСХ "/>
      <sheetName val="Поток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ФОН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>
            <v>2.5872571639071209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устранимый износ"/>
      <sheetName val="Затр подх"/>
      <sheetName val="износы"/>
      <sheetName val="здание"/>
      <sheetName val="реконструкция офис"/>
      <sheetName val="реконструкция"/>
      <sheetName val="ПП"/>
      <sheetName val="Земля ост жилье"/>
      <sheetName val="Земля_сравн"/>
      <sheetName val="Лист3"/>
      <sheetName val="Начало"/>
      <sheetName val="восст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"/>
      <sheetName val="ф.из. лит а"/>
      <sheetName val="УПВС кот."/>
      <sheetName val="затр_подх"/>
      <sheetName val="Сведение"/>
      <sheetName val="исход-итог"/>
      <sheetName val="исх 1"/>
      <sheetName val="Спис_Объекты_недв"/>
      <sheetName val="Начало"/>
      <sheetName val="общие данные"/>
      <sheetName val="Const"/>
      <sheetName val="var 1"/>
      <sheetName val="КО-Инвест дду 140"/>
      <sheetName val="КО-Инв шк"/>
      <sheetName val="АДДП"/>
      <sheetName val="ОСЗ"/>
      <sheetName val="14.ДП"/>
      <sheetName val="1.ИСХ "/>
      <sheetName val="7.ЗУ ГУИОН!"/>
      <sheetName val="ИСХОДНИК"/>
      <sheetName val="свед"/>
      <sheetName val="Метод остатка"/>
      <sheetName val="общий"/>
      <sheetName val="3.ЗАТРАТЫ"/>
      <sheetName val="Исх_данные"/>
      <sheetName val="9.ДП"/>
      <sheetName val="СП_КОМПЛЕКС"/>
      <sheetName val="4.озеленение"/>
      <sheetName val="Салова лит А"/>
      <sheetName val="ЗУ ГУИОН"/>
      <sheetName val="Brif_zdanie"/>
      <sheetName val="6.Продажа квартир"/>
      <sheetName val="ПВД"/>
      <sheetName val="Содержание"/>
      <sheetName val="общее"/>
      <sheetName val="Смета"/>
      <sheetName val="дисконт"/>
      <sheetName val="Balance Sheet"/>
      <sheetName val="общие сведения"/>
      <sheetName val="Док+Исх"/>
      <sheetName val="Аренда Торговля"/>
      <sheetName val="Аренда СТО"/>
      <sheetName val="2.Продажа квартир"/>
      <sheetName val="Glossary"/>
      <sheetName val="2002(v2)"/>
      <sheetName val="Исходные данные"/>
      <sheetName val="график строительства"/>
      <sheetName val="Параметры"/>
      <sheetName val="Sheet2"/>
      <sheetName val="СРЗУ"/>
      <sheetName val="СД"/>
      <sheetName val="Ар2"/>
      <sheetName val="Лист2"/>
      <sheetName val="капитал. (78%, 16,66)"/>
      <sheetName val="Лист1"/>
      <sheetName val="Арендный_план_10.11"/>
      <sheetName val="dk"/>
      <sheetName val="восст"/>
      <sheetName val="график01.09.02"/>
      <sheetName val="Ан.-земля"/>
      <sheetName val="%%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~04"/>
      <sheetName val="март~04"/>
      <sheetName val="фев~04"/>
      <sheetName val="янв~04доп"/>
      <sheetName val="янв~04"/>
      <sheetName val="2фXII~03доп"/>
      <sheetName val="2фXII~03"/>
      <sheetName val="2фXI~03доп"/>
      <sheetName val="2фXI~03"/>
      <sheetName val="2фX~03доп"/>
      <sheetName val="2фX~03"/>
      <sheetName val="2фX~03 субподр"/>
      <sheetName val="2фIX~03 субподр"/>
      <sheetName val="2фIX~03"/>
      <sheetName val="2фIX~03доп"/>
      <sheetName val="2фVIII~03"/>
      <sheetName val="2фVIII~03доп"/>
      <sheetName val="2фVII~03"/>
      <sheetName val="2фVII~03доп"/>
      <sheetName val="2фVI~03"/>
      <sheetName val="2ф VI~03доп"/>
      <sheetName val="2ф V~03"/>
      <sheetName val="2ф IV~03 (2)"/>
      <sheetName val="2ф IV~03"/>
      <sheetName val="2ф  III-03"/>
      <sheetName val="2Ф II-03"/>
      <sheetName val="СМ.БЛАГОУСТР"/>
      <sheetName val="СМ.ВЫШЕ НОЛЯ"/>
      <sheetName val="Cм. НИЖЕ НОЛЯ"/>
      <sheetName val="СМ.доп.раб"/>
      <sheetName val="СМЕТАстомат."/>
      <sheetName val="СТОЛЯРКА 2 (2)"/>
      <sheetName val="СТОЛЯРКА 2"/>
      <sheetName val="СТОЛЯРКА 1"/>
      <sheetName val="матер АПРЕЛЬ"/>
      <sheetName val="М 29"/>
      <sheetName val="2фX~03доп (2)"/>
      <sheetName val="2фX~03 (2)"/>
      <sheetName val="матер НОЯБРЬ"/>
      <sheetName val="матер ЯНВАРЬ"/>
      <sheetName val="апр~04 (2)"/>
      <sheetName val="М 29 (2)"/>
      <sheetName val="матер. ОКТЯБРЬ"/>
      <sheetName val="СМ_ВЫШЕ НО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-1эт"/>
      <sheetName val="сп-2эт"/>
      <sheetName val="аренда (2)"/>
      <sheetName val="квартирысор"/>
      <sheetName val="квартирывсе"/>
      <sheetName val="квартирысорт"/>
      <sheetName val="1"/>
      <sheetName val="2"/>
      <sheetName val="3"/>
      <sheetName val="исход-итог"/>
      <sheetName val="описание"/>
      <sheetName val="Начало"/>
      <sheetName val="общие данные"/>
      <sheetName val="base_4_sp_new"/>
      <sheetName val="восст"/>
      <sheetName val="затр_подх"/>
      <sheetName val="Док+Исх"/>
      <sheetName val="Параметры"/>
      <sheetName val="НФИк"/>
      <sheetName val="Balance Sheet"/>
      <sheetName val="Лист3"/>
      <sheetName val="свед"/>
      <sheetName val="СВОД"/>
      <sheetName val="Итоги"/>
      <sheetName val="ПДДС-корпуса"/>
      <sheetName val="Лист2"/>
      <sheetName val="Метод остатка"/>
      <sheetName val="APP"/>
      <sheetName val="Содержание"/>
      <sheetName val="ТЭП гостиница"/>
      <sheetName val="константы"/>
      <sheetName val="общие сведения"/>
      <sheetName val="Ставка Д"/>
      <sheetName val="Master Inputs Start Here"/>
      <sheetName val="HBS initial"/>
      <sheetName val="Доходный"/>
      <sheetName val="TMP"/>
      <sheetName val="Исх_данные"/>
      <sheetName val="Спис_Объекты_недв"/>
      <sheetName val="Средняя стоимость"/>
      <sheetName val="вводные данные"/>
      <sheetName val="Ср.пр."/>
      <sheetName val="справочник"/>
      <sheetName val="Маршал"/>
      <sheetName val="график строительства"/>
      <sheetName val="MGSN"/>
      <sheetName val="анализ"/>
      <sheetName val="Входные параметры"/>
      <sheetName val="Исходные"/>
      <sheetName val="Промка"/>
      <sheetName val="капитал. (78%, 16,66)"/>
      <sheetName val="Сибнефть"/>
      <sheetName val="Усинск_Роснефть"/>
      <sheetName val="согласование"/>
      <sheetName val="Аналоги ар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 ТЭП "/>
      <sheetName val="График"/>
      <sheetName val="Прогнозы"/>
      <sheetName val="Затраты"/>
      <sheetName val="ТРЦ "/>
      <sheetName val="Inputs"/>
      <sheetName val="DCF"/>
      <sheetName val="Индексация 2020"/>
      <sheetName val="Индексация"/>
      <sheetName val="Y"/>
      <sheetName val="ИД2016"/>
      <sheetName val="ИД2020"/>
      <sheetName val="ИД2018"/>
      <sheetName val="DCF_rent"/>
      <sheetName val="Total"/>
      <sheetName val="Compare SP"/>
      <sheetName val="Compar2020"/>
      <sheetName val="Compar2018"/>
      <sheetName val="2020RR"/>
      <sheetName val="Fixed"/>
      <sheetName val="18RR_OPEX"/>
    </sheetNames>
    <sheetDataSet>
      <sheetData sheetId="0"/>
      <sheetData sheetId="1">
        <row r="1">
          <cell r="A1" t="str">
            <v xml:space="preserve">Строительство </v>
          </cell>
        </row>
        <row r="5">
          <cell r="A5" t="str">
            <v>Жилые объекты</v>
          </cell>
        </row>
        <row r="6">
          <cell r="A6" t="str">
            <v>Жилые дома</v>
          </cell>
        </row>
        <row r="7">
          <cell r="A7" t="str">
            <v xml:space="preserve">Распределение по очередям, % </v>
          </cell>
        </row>
        <row r="8">
          <cell r="A8" t="str">
            <v>Квартиры</v>
          </cell>
        </row>
        <row r="9">
          <cell r="A9" t="str">
            <v xml:space="preserve">Количество квартир </v>
          </cell>
        </row>
        <row r="10">
          <cell r="A10" t="str">
            <v>Средняя площадь квартир</v>
          </cell>
        </row>
        <row r="11">
          <cell r="A11" t="str">
            <v>Коммерческие объекты</v>
          </cell>
        </row>
        <row r="12">
          <cell r="A12" t="str">
            <v>Офисы</v>
          </cell>
        </row>
        <row r="13">
          <cell r="A13" t="str">
            <v>Прочие</v>
          </cell>
        </row>
        <row r="14">
          <cell r="A14" t="str">
            <v>Машиноместа</v>
          </cell>
        </row>
        <row r="15">
          <cell r="A15" t="str">
            <v>Площадь паркинга</v>
          </cell>
        </row>
        <row r="17">
          <cell r="A17" t="str">
            <v>Продолжительность очереди, лет</v>
          </cell>
        </row>
        <row r="18">
          <cell r="A18" t="str">
            <v>Продолжительность очереди, кварталов</v>
          </cell>
        </row>
        <row r="19">
          <cell r="A19" t="str">
            <v>Продолжительность строительства, кварталов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П"/>
      <sheetName val="сравнительный"/>
      <sheetName val="котировки"/>
      <sheetName val="ставка капитализации"/>
      <sheetName val="доходный"/>
      <sheetName val="согласование результатов РС"/>
      <sheetName val="Лист1"/>
      <sheetName val="Лист2"/>
      <sheetName val="Лист3"/>
      <sheetName val="Лист4"/>
      <sheetName val="Лист5"/>
      <sheetName val="Лист6"/>
    </sheetNames>
    <sheetDataSet>
      <sheetData sheetId="0"/>
      <sheetData sheetId="1" refreshError="1"/>
      <sheetData sheetId="2"/>
      <sheetData sheetId="3" refreshError="1"/>
      <sheetData sheetId="4">
        <row r="7">
          <cell r="B7">
            <v>0.11569654413034026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едение"/>
      <sheetName val="Служебный"/>
      <sheetName val="Метод остатка"/>
      <sheetName val="свед"/>
      <sheetName val="общие сведения"/>
      <sheetName val="Assum."/>
      <sheetName val="Параметры"/>
      <sheetName val="рабочий"/>
      <sheetName val="общее"/>
      <sheetName val="Исходные"/>
      <sheetName val="ТЭП гостиница"/>
      <sheetName val="Баз предп"/>
      <sheetName val="общие данные"/>
      <sheetName val="ТЭП"/>
      <sheetName val="Содержание"/>
      <sheetName val="Ставка Д"/>
      <sheetName val="затр_подх"/>
      <sheetName val="исх 1"/>
      <sheetName val="исход-итог"/>
      <sheetName val="Master Inputs Start Here"/>
      <sheetName val="HBS initial"/>
      <sheetName val="восст"/>
      <sheetName val="Лист1"/>
      <sheetName val="Док+Исх"/>
      <sheetName val="ar"/>
      <sheetName val="данные"/>
      <sheetName val="ЛитБ"/>
      <sheetName val="Data"/>
      <sheetName val="Изменения"/>
      <sheetName val="1.10"/>
      <sheetName val="1.14"/>
      <sheetName val="Glossary"/>
      <sheetName val="d"/>
      <sheetName val="Исходные данные"/>
      <sheetName val="Оборудование_стоим"/>
      <sheetName val="общие_сведения"/>
      <sheetName val="Assum_"/>
      <sheetName val="Метод_остатка"/>
      <sheetName val="СРЗУ"/>
      <sheetName val="3.ЗАТРАТЫ"/>
      <sheetName val="проч ОС"/>
      <sheetName val="1"/>
      <sheetName val="Курсы"/>
      <sheetName val="Константы"/>
      <sheetName val="аналоги коттедж (2)"/>
      <sheetName val="Use"/>
      <sheetName val="общий"/>
      <sheetName val="1 Общая информация"/>
      <sheetName val="4 Смета"/>
      <sheetName val="14 Итоги"/>
      <sheetName val="7 Кредит"/>
      <sheetName val="НФИк"/>
      <sheetName val="Осн_данные"/>
      <sheetName val="Лист 1"/>
      <sheetName val="Лист 2"/>
      <sheetName val="9.ДП"/>
      <sheetName val="Кредит"/>
      <sheetName val="Аренда Торговля"/>
      <sheetName val="Аренда СТО"/>
      <sheetName val="Read me first"/>
      <sheetName val="Группы"/>
      <sheetName val="1.ИСХ"/>
      <sheetName val="документы Кириши"/>
      <sheetName val="Анализ чувствительности"/>
      <sheetName val="Свод"/>
      <sheetName val="Трансформация бу в уу(сентябрь)"/>
      <sheetName val="BS"/>
      <sheetName val="PL"/>
      <sheetName val="trust"/>
      <sheetName val="Const"/>
      <sheetName val="СП_КОМПЛЕКС"/>
      <sheetName val="4.озеленение"/>
      <sheetName val="Списки"/>
      <sheetName val="НСИ"/>
      <sheetName val="Ар2"/>
      <sheetName val="Sheet2"/>
      <sheetName val="05г_"/>
      <sheetName val="Справочники"/>
      <sheetName val="Зда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Быт Канал"/>
      <sheetName val="Быт Канал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 Подвесн Потол (5)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 Подвесн Потол"/>
      <sheetName val="Фундамент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ПожВодопрАКТ-ФЕВР-МАРТ"/>
      <sheetName val="Водопров АКТ-ДЕК"/>
      <sheetName val="Произв База АКТ-ЯНВ"/>
      <sheetName val="Пож и Хоз Вод АКТ-ЯНВ"/>
      <sheetName val="ДОП РАБ КабельТранш АКТ-ЯНВ (2)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>
        <row r="8">
          <cell r="F8" t="str">
            <v>Е27-33</v>
          </cell>
        </row>
      </sheetData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  <sheetName val="сантех___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аренда"/>
      <sheetName val="оценка"/>
      <sheetName val="мса_СКЛАД"/>
      <sheetName val="Лист1"/>
      <sheetName val="Коррект"/>
      <sheetName val="общие данные"/>
      <sheetName val="НФИк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активы"/>
      <sheetName val="ДоходникМаг"/>
      <sheetName val="ДоходникСклад"/>
      <sheetName val="ПАкниги"/>
      <sheetName val="ПАрынок"/>
      <sheetName val="Денпоток"/>
      <sheetName val="дог_аренды"/>
      <sheetName val="У.Е."/>
      <sheetName val="Дисконт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Стоим. земли"/>
      <sheetName val="Стоим. стр-ва"/>
      <sheetName val="Оценка износа"/>
      <sheetName val="Приложение 1"/>
      <sheetName val="восст"/>
      <sheetName val="Лист1"/>
      <sheetName val="Аренда_офисы"/>
      <sheetName val="затр_подх"/>
      <sheetName val="6.Продажа квартир"/>
      <sheetName val="3.ЗАТРАТЫ"/>
      <sheetName val="1.ИСХ"/>
      <sheetName val="документы Кириши"/>
      <sheetName val="Константы"/>
      <sheetName val="9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график01.09.02"/>
      <sheetName val="график строительства"/>
      <sheetName val="Служебный"/>
      <sheetName val="Док+Исх"/>
      <sheetName val="Спис_Объекты_недв"/>
      <sheetName val="Метод остатка"/>
      <sheetName val="свед"/>
      <sheetName val="общее"/>
      <sheetName val="К_книги"/>
      <sheetName val="Glossary"/>
      <sheetName val="14.ДП"/>
      <sheetName val="2.Продажа квартир"/>
      <sheetName val="СП_КОМПЛЕКС"/>
      <sheetName val="4.озеленение"/>
      <sheetName val="Параметры"/>
      <sheetName val="стр_пар2"/>
      <sheetName val="Sheet2"/>
      <sheetName val="Хран сах "/>
      <sheetName val="Инвест.план к БДДС"/>
      <sheetName val="Фин. вложения"/>
      <sheetName val="Хотмыжск"/>
      <sheetName val="Поступления"/>
      <sheetName val="MACRO"/>
      <sheetName val="Кред. задолж."/>
      <sheetName val="Изменения"/>
      <sheetName val="Прочий товар"/>
      <sheetName val=" БДДС"/>
      <sheetName val="Отгрузка"/>
      <sheetName val="ЛитБ"/>
      <sheetName val="Содержание"/>
      <sheetName val="Лист2"/>
      <sheetName val="НФИк"/>
      <sheetName val="3.ЗУ "/>
      <sheetName val="Инд"/>
      <sheetName val="Balance Sheet"/>
      <sheetName val="Income Statement"/>
      <sheetName val="1.ИСХ "/>
      <sheetName val="Ставка Д"/>
      <sheetName val="Актив ПРП"/>
      <sheetName val="Пассив ПРП"/>
      <sheetName val="Print Summary"/>
      <sheetName val="справочник"/>
      <sheetName val="TasAt"/>
      <sheetName val="Осн_данн"/>
      <sheetName val="СВОД"/>
      <sheetName val="инфо"/>
      <sheetName val="от закзчика"/>
      <sheetName val="Read me first"/>
      <sheetName val="ЗП"/>
      <sheetName val="исход"/>
      <sheetName val="Сравнение продаж"/>
      <sheetName val="Финанс__калькулятор"/>
      <sheetName val="Реконстр__отчет"/>
      <sheetName val="Прямая_капит_"/>
      <sheetName val="У_Е_"/>
      <sheetName val="Дисконт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1_ИСХ"/>
      <sheetName val="документы_Кириши"/>
      <sheetName val="6_Продажа_квартир"/>
      <sheetName val="3_ЗАТРАТЫ"/>
      <sheetName val="9_ДП"/>
      <sheetName val="Метод_остатка"/>
      <sheetName val="график01_09_02"/>
      <sheetName val="график_строительства"/>
      <sheetName val="14_ДП"/>
      <sheetName val="2_Продажа_квартир"/>
      <sheetName val="4_озеленение"/>
      <sheetName val="Balance_Sheet"/>
      <sheetName val="Income_Statement"/>
      <sheetName val="Хран_сах_"/>
      <sheetName val="Инвест_план_к_БДДС"/>
      <sheetName val="Фин__вложения"/>
      <sheetName val="Кред__задолж_"/>
      <sheetName val="Прочий_товар"/>
      <sheetName val="_БДДС"/>
      <sheetName val="3_ЗУ_"/>
      <sheetName val="Ставка_Д"/>
      <sheetName val="1_ИСХ_"/>
      <sheetName val="Read_me_first"/>
      <sheetName val="Актив_ПРП"/>
      <sheetName val="Пассив_ПРП"/>
      <sheetName val="от_закзчика"/>
      <sheetName val="Сравнение_продаж"/>
      <sheetName val="Списки"/>
      <sheetName val="Группы"/>
      <sheetName val="Курсы"/>
      <sheetName val="Курсы+"/>
      <sheetName val="Согласование "/>
      <sheetName val="%%"/>
      <sheetName val="Sheet5"/>
      <sheetName val="мса_СКЛАД"/>
      <sheetName val="1"/>
      <sheetName val="Список ТГ"/>
      <sheetName val="согласование"/>
    </sheetNames>
    <sheetDataSet>
      <sheetData sheetId="0">
        <row r="7">
          <cell r="J7">
            <v>28.05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_офис"/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данные"/>
      <sheetName val="Смета на весь"/>
      <sheetName val="согласование"/>
      <sheetName val="Дисконт. избыт."/>
      <sheetName val="Сравн. продаж_склад"/>
      <sheetName val="Сравн. продаж_отд.зд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инфрастр"/>
      <sheetName val="зем_налог"/>
      <sheetName val="Стоим. земли"/>
      <sheetName val="Стоим. стр-ва"/>
      <sheetName val="Оценка износа"/>
      <sheetName val="Приложение 1"/>
      <sheetName val="свед"/>
      <sheetName val="график строительства"/>
      <sheetName val="общие данные"/>
      <sheetName val="Ставка Д"/>
      <sheetName val="затр_подх"/>
      <sheetName val="Константы"/>
      <sheetName val="3.ЗАТРАТЫ"/>
      <sheetName val="восст"/>
      <sheetName val="СП_КОМПЛЕКС"/>
      <sheetName val="4.озеленение"/>
      <sheetName val="1.ИСХ"/>
      <sheetName val="документы Кириши"/>
      <sheetName val="Содержание"/>
      <sheetName val="НФИк"/>
      <sheetName val="Метод остатка"/>
      <sheetName val="Инд"/>
      <sheetName val="1"/>
      <sheetName val="Master Inputs Start Here"/>
      <sheetName val="HBS initial"/>
      <sheetName val="Balance Sheet"/>
      <sheetName val="Income Statement"/>
      <sheetName val="Лист1"/>
      <sheetName val="Glossary"/>
      <sheetName val="Средняя стоимость"/>
      <sheetName val="Проект"/>
      <sheetName val="К_Фрунзенский"/>
      <sheetName val="Resume"/>
      <sheetName val="Спис_Объекты_недв"/>
      <sheetName val="so "/>
      <sheetName val="Финанс__калькулятор"/>
      <sheetName val="Реконстр__отчет"/>
      <sheetName val="Прямая_капит_"/>
      <sheetName val="Смета_на_весь"/>
      <sheetName val="Дисконт__избыт_"/>
      <sheetName val="Сравн__продаж_склад"/>
      <sheetName val="Сравн__продаж_отд_зд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график_строительства"/>
      <sheetName val="общие_данные"/>
      <sheetName val="Ставка_Д"/>
      <sheetName val="3_ЗАТРАТЫ"/>
      <sheetName val="4_озеленение"/>
      <sheetName val="1_ИСХ"/>
      <sheetName val="документы_Кириши"/>
      <sheetName val="Метод_остатка"/>
      <sheetName val="Master_Inputs_Start_Here"/>
      <sheetName val="HBS_initial"/>
      <sheetName val="Balance_Sheet"/>
      <sheetName val="Income_Statement"/>
      <sheetName val="Средняя_стоимость"/>
      <sheetName val="6_Продажа_квартир"/>
      <sheetName val="so_"/>
      <sheetName val="6.Продажа квартир"/>
      <sheetName val="Исходные"/>
      <sheetName val="Земля"/>
      <sheetName val="Лист2"/>
      <sheetName val="Инфл."/>
    </sheetNames>
    <sheetDataSet>
      <sheetData sheetId="0">
        <row r="7">
          <cell r="J7">
            <v>28.05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  <sheetName val="Основные средства"/>
      <sheetName val="Ч.активы+Гудвил"/>
      <sheetName val="WACC 2"/>
      <sheetName val="WACC 1"/>
      <sheetName val="Прирост оборотного  капитала"/>
      <sheetName val="Собств. оборотный капитал"/>
      <sheetName val="Капвложения"/>
      <sheetName val="ЧОД"/>
      <sheetName val="36,6"/>
      <sheetName val="Дисконт"/>
      <sheetName val="Сравнительный"/>
      <sheetName val="ставка дисконта"/>
    </sheetNames>
    <sheetDataSet>
      <sheetData sheetId="0" refreshError="1">
        <row r="5">
          <cell r="B5">
            <v>0.19309999999999999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ЗАО &quot;ИХП&quot;"/>
      <sheetName val="ФП(31)"/>
      <sheetName val="Запасы(16)"/>
      <sheetName val="Соц. выплаты(20)"/>
      <sheetName val="Налоги(19)"/>
      <sheetName val="Расчет налогов (19а)"/>
      <sheetName val="жд тариф(15)"/>
      <sheetName val="Прочие(24)"/>
      <sheetName val="Зарплата(17)"/>
      <sheetName val="Пр. пост.(4а)"/>
      <sheetName val="Инвестиции(18)"/>
      <sheetName val="Услуги банков(22)"/>
      <sheetName val="Мат и услуги(13)"/>
      <sheetName val="Отгрузка(3)"/>
      <sheetName val="Цены на пр-цию(2)"/>
      <sheetName val="Выручка(4)"/>
      <sheetName val="Страхование(21)"/>
      <sheetName val="Топливо(10)"/>
      <sheetName val="Энергетика(7)"/>
      <sheetName val="Химикаты(отеч.)(8)"/>
      <sheetName val="Химикаты(имп.)(9)"/>
      <sheetName val="Мат-лы тг(11)"/>
      <sheetName val="Мат-лы тб(12)"/>
      <sheetName val="Таможня (импорт)(14)"/>
      <sheetName val="Корп. платежи(30)"/>
      <sheetName val="Движ. деб з-ти(26)"/>
      <sheetName val="Движ. кр. зад-ти(27)"/>
      <sheetName val="Ф№2(28)"/>
      <sheetName val="Ф№1(29)"/>
      <sheetName val="Фин. сост.(32)"/>
      <sheetName val="Переход от бюдж.(33)"/>
      <sheetName val="Инвестиции_18_"/>
      <sheetName val="Начало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  <cell r="C7">
            <v>3.2</v>
          </cell>
        </row>
        <row r="8">
          <cell r="A8" t="str">
            <v>Производственный корпус № 2</v>
          </cell>
          <cell r="B8">
            <v>77.400000000000006</v>
          </cell>
          <cell r="C8">
            <v>3</v>
          </cell>
        </row>
        <row r="9">
          <cell r="A9" t="str">
            <v>Производственный корпус № 3</v>
          </cell>
          <cell r="B9">
            <v>134</v>
          </cell>
          <cell r="C9">
            <v>3</v>
          </cell>
        </row>
        <row r="10">
          <cell r="A10" t="str">
            <v>Производственный корпус № 4</v>
          </cell>
          <cell r="B10">
            <v>426.2</v>
          </cell>
          <cell r="C10">
            <v>3.09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  <sheetName val="Summary"/>
      <sheetName val="Shares"/>
      <sheetName val="Bonds"/>
      <sheetName val="FES"/>
      <sheetName val="Закупки"/>
      <sheetName val="Master Inputs Start Here"/>
      <sheetName val="HBS initial"/>
      <sheetName val="HIS initial"/>
      <sheetName val="БДР"/>
      <sheetName val="карточка"/>
      <sheetName val="затраты"/>
      <sheetName val="ЗАО_н.ит"/>
      <sheetName val="ЗАО_мес"/>
      <sheetName val="Main"/>
      <sheetName val="Journals"/>
      <sheetName val="Ф-1"/>
    </sheetNames>
    <sheetDataSet>
      <sheetData sheetId="0">
        <row r="2">
          <cell r="B2">
            <v>28.485299999999999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Control output"/>
      <sheetName val="DCF"/>
      <sheetName val="HQ_Cash"/>
      <sheetName val="Stats_Cur"/>
      <sheetName val="Stats_New"/>
      <sheetName val="Assumption_Cur"/>
      <sheetName val="Assumption_New"/>
      <sheetName val="RampUp_New"/>
      <sheetName val="Projects"/>
      <sheetName val=" Adjustments Output"/>
      <sheetName val="Operational"/>
      <sheetName val="Debt"/>
    </sheetNames>
    <sheetDataSet>
      <sheetData sheetId="0">
        <row r="5">
          <cell r="S5">
            <v>0</v>
          </cell>
        </row>
        <row r="6">
          <cell r="S6">
            <v>0</v>
          </cell>
        </row>
        <row r="17">
          <cell r="I17">
            <v>0</v>
          </cell>
          <cell r="S17">
            <v>0</v>
          </cell>
        </row>
        <row r="35">
          <cell r="I35">
            <v>0</v>
          </cell>
        </row>
      </sheetData>
      <sheetData sheetId="1">
        <row r="29">
          <cell r="Q29">
            <v>44711</v>
          </cell>
        </row>
      </sheetData>
      <sheetData sheetId="2" refreshError="1"/>
      <sheetData sheetId="3">
        <row r="5">
          <cell r="A5">
            <v>1</v>
          </cell>
        </row>
      </sheetData>
      <sheetData sheetId="4" refreshError="1"/>
      <sheetData sheetId="5">
        <row r="4">
          <cell r="B4" t="str">
            <v>Проект 48</v>
          </cell>
        </row>
      </sheetData>
      <sheetData sheetId="6" refreshError="1"/>
      <sheetData sheetId="7">
        <row r="5">
          <cell r="J5">
            <v>0</v>
          </cell>
        </row>
      </sheetData>
      <sheetData sheetId="8" refreshError="1"/>
      <sheetData sheetId="9" refreshError="1"/>
      <sheetData sheetId="10">
        <row r="66">
          <cell r="I66">
            <v>1373635.3274250797</v>
          </cell>
        </row>
      </sheetData>
      <sheetData sheetId="11">
        <row r="104">
          <cell r="E104" t="str">
            <v>Новые проекты</v>
          </cell>
        </row>
      </sheetData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  <sheetName val="Баланс"/>
      <sheetName val="СОФ"/>
      <sheetName val="Ден_Ср"/>
      <sheetName val="Цен_Бум"/>
      <sheetName val="Пр_Уб"/>
      <sheetName val="ИРП"/>
      <sheetName val="Д1"/>
      <sheetName val="КОЭФ"/>
      <sheetName val="ДСБ"/>
      <sheetName val="Графики"/>
      <sheetName val="итог"/>
      <sheetName val="Д4"/>
      <sheetName val="ДП"/>
      <sheetName val="ЧА"/>
      <sheetName val="Д2"/>
      <sheetName val="Стр-ра Обор.А"/>
      <sheetName val="Внеоб_акт."/>
      <sheetName val="Д5"/>
      <sheetName val="Д6"/>
      <sheetName val="Обор.акт"/>
      <sheetName val="Анал_Б"/>
      <sheetName val="Ликв_Д"/>
      <sheetName val="Ликв-ть"/>
      <sheetName val="Фин. уст-ть"/>
      <sheetName val="Рент-ть"/>
      <sheetName val="Лист2"/>
      <sheetName val="Структура оборотных акт"/>
      <sheetName val="ПВД"/>
      <sheetName val="CF office"/>
      <sheetName val="Rent Assumptions"/>
      <sheetName val=" General Assumptions"/>
      <sheetName val="Кредит (2)"/>
      <sheetName val="Кредит"/>
      <sheetName val="Анализ инвест"/>
      <sheetName val="Лист3"/>
      <sheetName val=" Assumptions"/>
      <sheetName val="дох_word"/>
      <sheetName val="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A6">
            <v>10000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A8" t="str">
            <v>Продукты: Параметры</v>
          </cell>
        </row>
        <row r="20">
          <cell r="A20" t="str">
            <v>Продукты: Получено денег</v>
          </cell>
        </row>
        <row r="32">
          <cell r="A32" t="str">
            <v>Продукты: Получено НДС</v>
          </cell>
        </row>
        <row r="44">
          <cell r="A44" t="str">
            <v>Продукты: Продажи без НДС</v>
          </cell>
        </row>
        <row r="58">
          <cell r="A58" t="str">
            <v>Материалы/комплектующие</v>
          </cell>
        </row>
        <row r="70">
          <cell r="A70" t="str">
            <v>Материалы/комплектующие</v>
          </cell>
        </row>
        <row r="82">
          <cell r="A82" t="str">
            <v>Материалы/комплектующие</v>
          </cell>
        </row>
        <row r="94">
          <cell r="A94" t="str">
            <v>Материалы/комплектующие</v>
          </cell>
        </row>
        <row r="106">
          <cell r="A106" t="str">
            <v>Материалы/комплектующие</v>
          </cell>
        </row>
        <row r="118">
          <cell r="A118" t="str">
            <v>Материалы/комплектующие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8">
          <cell r="A138" t="str">
            <v>Активы: транспорт</v>
          </cell>
        </row>
        <row r="142">
          <cell r="A142" t="str">
            <v>Активы: оргтехника</v>
          </cell>
        </row>
        <row r="146">
          <cell r="A146" t="str">
            <v>Активы: прочие</v>
          </cell>
        </row>
        <row r="150">
          <cell r="A150" t="str">
            <v>Активы: здания</v>
          </cell>
        </row>
        <row r="153">
          <cell r="A153" t="str">
            <v>Активы: оборудование</v>
          </cell>
        </row>
        <row r="157">
          <cell r="A157" t="str">
            <v>Активы: транспорт</v>
          </cell>
        </row>
        <row r="161">
          <cell r="A161" t="str">
            <v>Активы: оргтехника</v>
          </cell>
        </row>
        <row r="165">
          <cell r="A165" t="str">
            <v>Активы: прочие</v>
          </cell>
        </row>
        <row r="169">
          <cell r="A169" t="str">
            <v>Активы: здания</v>
          </cell>
        </row>
        <row r="172">
          <cell r="A172" t="str">
            <v>Активы: оборудование</v>
          </cell>
        </row>
        <row r="176">
          <cell r="A176" t="str">
            <v>Активы: транспорт</v>
          </cell>
        </row>
        <row r="180">
          <cell r="A180" t="str">
            <v>Активы: оргтехника</v>
          </cell>
        </row>
        <row r="184">
          <cell r="A184" t="str">
            <v>Активы: прочие</v>
          </cell>
        </row>
        <row r="188">
          <cell r="A188" t="str">
            <v>Активы: здания</v>
          </cell>
        </row>
        <row r="191">
          <cell r="A191" t="str">
            <v>Активы: оборудование</v>
          </cell>
        </row>
        <row r="195">
          <cell r="A195" t="str">
            <v>Активы: транспорт</v>
          </cell>
        </row>
        <row r="199">
          <cell r="A199" t="str">
            <v>Активы: оргтехника</v>
          </cell>
        </row>
        <row r="203">
          <cell r="A203" t="str">
            <v>Активы: прочие</v>
          </cell>
        </row>
        <row r="207">
          <cell r="A207" t="str">
            <v>Активы: здания</v>
          </cell>
        </row>
        <row r="210">
          <cell r="A210" t="str">
            <v>Активы: оборудование</v>
          </cell>
        </row>
        <row r="214">
          <cell r="A214" t="str">
            <v>Активы: транспорт</v>
          </cell>
        </row>
        <row r="218">
          <cell r="A218" t="str">
            <v>Активы: оргтехника</v>
          </cell>
        </row>
        <row r="222">
          <cell r="A222" t="str">
            <v>Активы: прочие</v>
          </cell>
        </row>
        <row r="226">
          <cell r="A226" t="str">
            <v>Активы: здания</v>
          </cell>
        </row>
        <row r="229">
          <cell r="A229" t="str">
            <v>Активы: оборудование</v>
          </cell>
        </row>
        <row r="233">
          <cell r="A233" t="str">
            <v>Активы: транспорт</v>
          </cell>
        </row>
        <row r="237">
          <cell r="A237" t="str">
            <v>Активы: оргтехника</v>
          </cell>
        </row>
        <row r="241">
          <cell r="A241" t="str">
            <v>Активы: прочие</v>
          </cell>
        </row>
        <row r="245">
          <cell r="A245" t="str">
            <v>Активы: здания</v>
          </cell>
        </row>
        <row r="248">
          <cell r="A248" t="str">
            <v>Активы: оборудование</v>
          </cell>
        </row>
        <row r="252">
          <cell r="A252" t="str">
            <v>Активы: транспорт</v>
          </cell>
        </row>
        <row r="256">
          <cell r="A256" t="str">
            <v>Активы: оргтехника</v>
          </cell>
        </row>
        <row r="260">
          <cell r="A260" t="str">
            <v>Активы: прочие</v>
          </cell>
        </row>
        <row r="266">
          <cell r="A266" t="str">
            <v>Общие издержки: производство</v>
          </cell>
        </row>
        <row r="271">
          <cell r="A271" t="str">
            <v>Общие издержки: административные</v>
          </cell>
        </row>
        <row r="276">
          <cell r="A276" t="str">
            <v>Общие издержки: маркетинг</v>
          </cell>
        </row>
        <row r="280">
          <cell r="A280" t="str">
            <v>Общие издержки: производство</v>
          </cell>
        </row>
        <row r="285">
          <cell r="A285" t="str">
            <v>Общие издержки: административные</v>
          </cell>
        </row>
        <row r="290">
          <cell r="A290" t="str">
            <v>Общие издержки: маркетинг</v>
          </cell>
        </row>
        <row r="299">
          <cell r="A299" t="str">
            <v>Персонал: производство</v>
          </cell>
        </row>
        <row r="302">
          <cell r="A302" t="str">
            <v>Персонал: административный</v>
          </cell>
        </row>
        <row r="312">
          <cell r="A312" t="str">
            <v>Персонал: административный</v>
          </cell>
        </row>
        <row r="316">
          <cell r="A316" t="str">
            <v>Акционеры</v>
          </cell>
        </row>
        <row r="319">
          <cell r="A319" t="str">
            <v>Акционеры</v>
          </cell>
        </row>
        <row r="322">
          <cell r="A322" t="str">
            <v>Акционеры</v>
          </cell>
        </row>
      </sheetData>
      <sheetData sheetId="8">
        <row r="5">
          <cell r="B5">
            <v>1</v>
          </cell>
        </row>
        <row r="6">
          <cell r="B6">
            <v>1</v>
          </cell>
        </row>
        <row r="7">
          <cell r="B7">
            <v>3</v>
          </cell>
        </row>
        <row r="8">
          <cell r="B8">
            <v>17</v>
          </cell>
        </row>
        <row r="9">
          <cell r="B9">
            <v>9</v>
          </cell>
        </row>
        <row r="10">
          <cell r="B10">
            <v>5</v>
          </cell>
        </row>
        <row r="13">
          <cell r="B13">
            <v>10</v>
          </cell>
        </row>
        <row r="15">
          <cell r="B15">
            <v>1</v>
          </cell>
        </row>
        <row r="16">
          <cell r="B16">
            <v>2</v>
          </cell>
        </row>
        <row r="17">
          <cell r="B17">
            <v>2</v>
          </cell>
        </row>
        <row r="18">
          <cell r="B18">
            <v>2</v>
          </cell>
        </row>
        <row r="19">
          <cell r="B19">
            <v>2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0</v>
          </cell>
        </row>
        <row r="26">
          <cell r="B26">
            <v>3.7801970250709083E-2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40">
          <cell r="B40">
            <v>1</v>
          </cell>
        </row>
        <row r="41">
          <cell r="B41">
            <v>60</v>
          </cell>
        </row>
        <row r="43">
          <cell r="B43">
            <v>77027.030366378051</v>
          </cell>
        </row>
        <row r="44">
          <cell r="B44">
            <v>7</v>
          </cell>
        </row>
        <row r="48">
          <cell r="B48">
            <v>3</v>
          </cell>
        </row>
        <row r="49">
          <cell r="B49">
            <v>3</v>
          </cell>
        </row>
        <row r="50">
          <cell r="B50">
            <v>1</v>
          </cell>
        </row>
        <row r="51">
          <cell r="B51">
            <v>0</v>
          </cell>
        </row>
        <row r="52">
          <cell r="B52">
            <v>8</v>
          </cell>
        </row>
        <row r="53">
          <cell r="B53">
            <v>1</v>
          </cell>
        </row>
        <row r="55">
          <cell r="C55" t="str">
            <v>руб.</v>
          </cell>
        </row>
        <row r="61">
          <cell r="B61">
            <v>0</v>
          </cell>
        </row>
      </sheetData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,0101,1010,0"/>
      <sheetName val="Лист 2,0201,1010,0"/>
      <sheetName val="Лист 3,0301,1010,0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CF "/>
      <sheetName val="Income_sheet"/>
      <sheetName val="Capex"/>
      <sheetName val="WACC"/>
      <sheetName val="Market"/>
      <sheetName val="макра"/>
      <sheetName val="БДР_01_2009"/>
      <sheetName val="Balance_sheet"/>
      <sheetName val="Доли"/>
      <sheetName val="="/>
    </sheetNames>
    <sheetDataSet>
      <sheetData sheetId="0"/>
      <sheetData sheetId="1">
        <row r="47">
          <cell r="K47">
            <v>520281.08904696361</v>
          </cell>
        </row>
      </sheetData>
      <sheetData sheetId="2">
        <row r="6">
          <cell r="E6">
            <v>3161589.5799999996</v>
          </cell>
        </row>
      </sheetData>
      <sheetData sheetId="3">
        <row r="15">
          <cell r="E15">
            <v>52242.116381379994</v>
          </cell>
        </row>
      </sheetData>
      <sheetData sheetId="4">
        <row r="3">
          <cell r="Q3">
            <v>426227</v>
          </cell>
        </row>
      </sheetData>
      <sheetData sheetId="5"/>
      <sheetData sheetId="6"/>
      <sheetData sheetId="7">
        <row r="40">
          <cell r="C40">
            <v>48077</v>
          </cell>
        </row>
      </sheetData>
      <sheetData sheetId="8">
        <row r="135">
          <cell r="S135">
            <v>20885</v>
          </cell>
        </row>
      </sheetData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PropertyPlan"/>
      <sheetName val="Rent(ставки)"/>
      <sheetName val="BaseTable"/>
      <sheetName val="Parametrs"/>
      <sheetName val="TenantList"/>
      <sheetName val="Supplylist"/>
      <sheetName val="RentRoll"/>
      <sheetName val="Property plan (статусы)"/>
      <sheetName val="Property plan (типы помещ-й)"/>
      <sheetName val="Доход Д1+Д32"/>
      <sheetName val="Доход Д4 (парковка)"/>
      <sheetName val="Доход Д5,Д6"/>
      <sheetName val="Rent (уст.)"/>
    </sheetNames>
    <sheetDataSet>
      <sheetData sheetId="0"/>
      <sheetData sheetId="1"/>
      <sheetData sheetId="2"/>
      <sheetData sheetId="3">
        <row r="1">
          <cell r="A1">
            <v>0</v>
          </cell>
          <cell r="F1">
            <v>40725</v>
          </cell>
          <cell r="G1">
            <v>40744</v>
          </cell>
          <cell r="H1">
            <v>40756</v>
          </cell>
          <cell r="I1">
            <v>40775</v>
          </cell>
          <cell r="J1">
            <v>40787</v>
          </cell>
          <cell r="K1">
            <v>40806</v>
          </cell>
          <cell r="L1">
            <v>40817</v>
          </cell>
          <cell r="M1">
            <v>40836</v>
          </cell>
          <cell r="N1">
            <v>40848</v>
          </cell>
          <cell r="O1">
            <v>40867</v>
          </cell>
          <cell r="P1">
            <v>40878</v>
          </cell>
          <cell r="Q1">
            <v>40897</v>
          </cell>
          <cell r="R1">
            <v>40909</v>
          </cell>
          <cell r="S1">
            <v>40928</v>
          </cell>
          <cell r="T1">
            <v>40940</v>
          </cell>
          <cell r="U1">
            <v>40959</v>
          </cell>
          <cell r="V1">
            <v>40969</v>
          </cell>
          <cell r="W1">
            <v>40988</v>
          </cell>
          <cell r="X1">
            <v>41000</v>
          </cell>
          <cell r="Y1">
            <v>41019</v>
          </cell>
          <cell r="Z1">
            <v>41030</v>
          </cell>
          <cell r="AA1">
            <v>41049</v>
          </cell>
          <cell r="AB1">
            <v>41061</v>
          </cell>
          <cell r="AC1">
            <v>41080</v>
          </cell>
          <cell r="AD1">
            <v>41091</v>
          </cell>
          <cell r="AE1">
            <v>41110</v>
          </cell>
          <cell r="AF1">
            <v>41122</v>
          </cell>
          <cell r="AG1">
            <v>41141</v>
          </cell>
          <cell r="AH1">
            <v>41153</v>
          </cell>
          <cell r="AI1">
            <v>41172</v>
          </cell>
          <cell r="AJ1">
            <v>41183</v>
          </cell>
          <cell r="AK1">
            <v>41202</v>
          </cell>
          <cell r="AL1">
            <v>41214</v>
          </cell>
          <cell r="AM1">
            <v>41233</v>
          </cell>
          <cell r="AN1">
            <v>41244</v>
          </cell>
          <cell r="AO1">
            <v>41263</v>
          </cell>
          <cell r="AP1">
            <v>41275</v>
          </cell>
          <cell r="AQ1">
            <v>41294</v>
          </cell>
          <cell r="AR1">
            <v>41306</v>
          </cell>
          <cell r="AS1">
            <v>41325</v>
          </cell>
          <cell r="AT1">
            <v>41334</v>
          </cell>
          <cell r="AU1">
            <v>41353</v>
          </cell>
          <cell r="AV1">
            <v>41365</v>
          </cell>
          <cell r="AW1">
            <v>41384</v>
          </cell>
          <cell r="AX1">
            <v>41395</v>
          </cell>
          <cell r="AY1">
            <v>41414</v>
          </cell>
          <cell r="AZ1">
            <v>41426</v>
          </cell>
          <cell r="BA1">
            <v>41445</v>
          </cell>
          <cell r="BB1">
            <v>41456</v>
          </cell>
          <cell r="BC1">
            <v>41475</v>
          </cell>
          <cell r="BD1">
            <v>41487</v>
          </cell>
          <cell r="BE1">
            <v>41506</v>
          </cell>
          <cell r="BF1">
            <v>41518</v>
          </cell>
          <cell r="BG1">
            <v>41537</v>
          </cell>
          <cell r="BH1">
            <v>41548</v>
          </cell>
          <cell r="BI1">
            <v>41567</v>
          </cell>
          <cell r="BJ1">
            <v>41579</v>
          </cell>
          <cell r="BK1">
            <v>41598</v>
          </cell>
          <cell r="BL1">
            <v>41609</v>
          </cell>
          <cell r="BM1">
            <v>41628</v>
          </cell>
          <cell r="BN1">
            <v>41640</v>
          </cell>
          <cell r="BO1">
            <v>41659</v>
          </cell>
          <cell r="BP1">
            <v>41671</v>
          </cell>
          <cell r="BQ1">
            <v>41690</v>
          </cell>
          <cell r="BR1">
            <v>41699</v>
          </cell>
          <cell r="BS1">
            <v>41718</v>
          </cell>
          <cell r="BT1">
            <v>41730</v>
          </cell>
          <cell r="BU1">
            <v>41749</v>
          </cell>
          <cell r="BV1">
            <v>41760</v>
          </cell>
          <cell r="BW1">
            <v>41779</v>
          </cell>
          <cell r="BX1">
            <v>41791</v>
          </cell>
          <cell r="BY1">
            <v>41810</v>
          </cell>
          <cell r="BZ1">
            <v>41821</v>
          </cell>
          <cell r="CA1">
            <v>41840</v>
          </cell>
          <cell r="CB1">
            <v>41852</v>
          </cell>
          <cell r="CC1">
            <v>41871</v>
          </cell>
          <cell r="CD1">
            <v>41883</v>
          </cell>
          <cell r="CE1">
            <v>41902</v>
          </cell>
          <cell r="CF1">
            <v>41913</v>
          </cell>
          <cell r="CG1">
            <v>41932</v>
          </cell>
          <cell r="CH1">
            <v>41944</v>
          </cell>
          <cell r="CI1">
            <v>41963</v>
          </cell>
          <cell r="CJ1">
            <v>41974</v>
          </cell>
          <cell r="CK1">
            <v>41993</v>
          </cell>
          <cell r="CL1">
            <v>42005</v>
          </cell>
          <cell r="CM1">
            <v>42024</v>
          </cell>
          <cell r="CN1">
            <v>42036</v>
          </cell>
          <cell r="CO1">
            <v>42055</v>
          </cell>
          <cell r="CP1">
            <v>42064</v>
          </cell>
          <cell r="CQ1">
            <v>42083</v>
          </cell>
          <cell r="CR1">
            <v>42095</v>
          </cell>
          <cell r="CS1">
            <v>42114</v>
          </cell>
          <cell r="CT1">
            <v>42125</v>
          </cell>
          <cell r="CU1">
            <v>42144</v>
          </cell>
          <cell r="CV1">
            <v>42156</v>
          </cell>
          <cell r="CW1">
            <v>42175</v>
          </cell>
          <cell r="CX1">
            <v>42186</v>
          </cell>
          <cell r="CY1">
            <v>42205</v>
          </cell>
          <cell r="CZ1">
            <v>42217</v>
          </cell>
          <cell r="DA1">
            <v>42236</v>
          </cell>
          <cell r="DB1">
            <v>42248</v>
          </cell>
          <cell r="DC1">
            <v>42267</v>
          </cell>
          <cell r="DD1">
            <v>42278</v>
          </cell>
          <cell r="DE1">
            <v>42297</v>
          </cell>
          <cell r="DF1">
            <v>42309</v>
          </cell>
          <cell r="DG1">
            <v>42328</v>
          </cell>
          <cell r="DH1">
            <v>42339</v>
          </cell>
          <cell r="DI1">
            <v>42358</v>
          </cell>
          <cell r="DJ1">
            <v>42370</v>
          </cell>
          <cell r="DK1">
            <v>42389</v>
          </cell>
          <cell r="DL1">
            <v>42401</v>
          </cell>
          <cell r="DM1">
            <v>42420</v>
          </cell>
          <cell r="DN1">
            <v>42430</v>
          </cell>
          <cell r="DO1">
            <v>42449</v>
          </cell>
          <cell r="DP1">
            <v>42461</v>
          </cell>
          <cell r="DQ1">
            <v>42480</v>
          </cell>
          <cell r="DR1">
            <v>42491</v>
          </cell>
          <cell r="DS1">
            <v>42510</v>
          </cell>
          <cell r="DT1">
            <v>42522</v>
          </cell>
          <cell r="DU1">
            <v>42541</v>
          </cell>
          <cell r="DV1">
            <v>42552</v>
          </cell>
          <cell r="DW1">
            <v>42571</v>
          </cell>
          <cell r="DX1">
            <v>42583</v>
          </cell>
          <cell r="DY1">
            <v>42602</v>
          </cell>
          <cell r="DZ1">
            <v>42614</v>
          </cell>
          <cell r="EA1">
            <v>42633</v>
          </cell>
          <cell r="EB1">
            <v>42644</v>
          </cell>
          <cell r="EC1">
            <v>42663</v>
          </cell>
          <cell r="ED1">
            <v>42675</v>
          </cell>
          <cell r="EE1">
            <v>42694</v>
          </cell>
          <cell r="EF1">
            <v>42705</v>
          </cell>
          <cell r="EG1">
            <v>42724</v>
          </cell>
          <cell r="EH1">
            <v>42736</v>
          </cell>
          <cell r="EI1">
            <v>42755</v>
          </cell>
          <cell r="EJ1">
            <v>42767</v>
          </cell>
          <cell r="EK1">
            <v>42786</v>
          </cell>
          <cell r="EL1">
            <v>42795</v>
          </cell>
          <cell r="EM1">
            <v>42814</v>
          </cell>
          <cell r="EN1">
            <v>42826</v>
          </cell>
          <cell r="EO1">
            <v>42845</v>
          </cell>
          <cell r="EP1">
            <v>42856</v>
          </cell>
          <cell r="EQ1">
            <v>42875</v>
          </cell>
          <cell r="ER1">
            <v>42887</v>
          </cell>
          <cell r="ES1">
            <v>42906</v>
          </cell>
        </row>
      </sheetData>
      <sheetData sheetId="4">
        <row r="2">
          <cell r="B2" t="str">
            <v>I</v>
          </cell>
          <cell r="C2" t="str">
            <v>II</v>
          </cell>
          <cell r="D2" t="str">
            <v>III</v>
          </cell>
        </row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</row>
        <row r="4">
          <cell r="B4" t="str">
            <v>KNOP</v>
          </cell>
          <cell r="C4" t="str">
            <v>RYADY SOLDATENKOVA</v>
          </cell>
          <cell r="D4" t="str">
            <v>MESHERIN</v>
          </cell>
          <cell r="E4" t="str">
            <v>GASTELLO</v>
          </cell>
          <cell r="F4" t="str">
            <v>AZIMUT</v>
          </cell>
          <cell r="G4" t="str">
            <v>KONTORA KNOPA</v>
          </cell>
          <cell r="H4" t="str">
            <v>LOFT BURO</v>
          </cell>
          <cell r="I4" t="str">
            <v>BATISTOVYI</v>
          </cell>
          <cell r="J4" t="str">
            <v>SATINOVYI</v>
          </cell>
          <cell r="K4" t="str">
            <v>1B w/Name</v>
          </cell>
          <cell r="L4" t="str">
            <v>LITEIKA</v>
          </cell>
          <cell r="M4" t="str">
            <v>SITCEVYI</v>
          </cell>
          <cell r="N4" t="str">
            <v>PK6 Restoran</v>
          </cell>
          <cell r="O4">
            <v>12</v>
          </cell>
          <cell r="P4">
            <v>2</v>
          </cell>
          <cell r="Q4" t="str">
            <v>FLANELEVYI</v>
          </cell>
          <cell r="R4" t="str">
            <v>GOLLANDSKIE DOMIKI</v>
          </cell>
          <cell r="S4">
            <v>6</v>
          </cell>
          <cell r="T4">
            <v>7</v>
          </cell>
          <cell r="U4" t="str">
            <v>8 Restoran</v>
          </cell>
          <cell r="V4">
            <v>9</v>
          </cell>
        </row>
        <row r="7">
          <cell r="B7">
            <v>-4</v>
          </cell>
          <cell r="C7">
            <v>-3</v>
          </cell>
          <cell r="D7">
            <v>-2</v>
          </cell>
          <cell r="E7">
            <v>-1</v>
          </cell>
          <cell r="F7">
            <v>1</v>
          </cell>
          <cell r="G7">
            <v>2</v>
          </cell>
          <cell r="H7">
            <v>3</v>
          </cell>
          <cell r="I7">
            <v>4</v>
          </cell>
          <cell r="J7">
            <v>5</v>
          </cell>
          <cell r="K7">
            <v>6</v>
          </cell>
          <cell r="L7">
            <v>7</v>
          </cell>
          <cell r="M7">
            <v>8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  <cell r="R7">
            <v>13</v>
          </cell>
          <cell r="S7">
            <v>14</v>
          </cell>
          <cell r="T7">
            <v>15</v>
          </cell>
          <cell r="U7">
            <v>16</v>
          </cell>
          <cell r="V7">
            <v>17</v>
          </cell>
          <cell r="W7">
            <v>18</v>
          </cell>
          <cell r="X7">
            <v>19</v>
          </cell>
          <cell r="Y7">
            <v>20</v>
          </cell>
          <cell r="Z7">
            <v>21</v>
          </cell>
          <cell r="AA7">
            <v>22</v>
          </cell>
          <cell r="AB7">
            <v>23</v>
          </cell>
          <cell r="AC7">
            <v>24</v>
          </cell>
          <cell r="AD7">
            <v>25</v>
          </cell>
          <cell r="AE7">
            <v>26</v>
          </cell>
          <cell r="AF7">
            <v>27</v>
          </cell>
          <cell r="AG7">
            <v>28</v>
          </cell>
          <cell r="AH7">
            <v>29</v>
          </cell>
          <cell r="AI7">
            <v>30</v>
          </cell>
        </row>
        <row r="8">
          <cell r="B8" t="str">
            <v>USD</v>
          </cell>
          <cell r="C8" t="str">
            <v>RUR</v>
          </cell>
          <cell r="D8" t="str">
            <v>EURO</v>
          </cell>
        </row>
        <row r="9">
          <cell r="B9" t="str">
            <v>да</v>
          </cell>
          <cell r="C9" t="str">
            <v>нет</v>
          </cell>
        </row>
        <row r="11">
          <cell r="B11" t="str">
            <v>нет</v>
          </cell>
          <cell r="C11">
            <v>20.010000000000002</v>
          </cell>
          <cell r="D11">
            <v>20.02</v>
          </cell>
          <cell r="E11">
            <v>20.03</v>
          </cell>
          <cell r="F11">
            <v>20.04</v>
          </cell>
          <cell r="G11">
            <v>20.05</v>
          </cell>
          <cell r="H11">
            <v>20.059999999999999</v>
          </cell>
          <cell r="I11">
            <v>20.07</v>
          </cell>
          <cell r="J11">
            <v>20.079999999999998</v>
          </cell>
          <cell r="K11">
            <v>20.09</v>
          </cell>
          <cell r="L11">
            <v>20.100000000000001</v>
          </cell>
          <cell r="M11">
            <v>20.11</v>
          </cell>
          <cell r="N11">
            <v>20.12</v>
          </cell>
          <cell r="O11">
            <v>20.13</v>
          </cell>
          <cell r="P11">
            <v>20.14</v>
          </cell>
          <cell r="Q11">
            <v>20.149999999999999</v>
          </cell>
          <cell r="R11">
            <v>20.16</v>
          </cell>
          <cell r="S11">
            <v>20.170000000000002</v>
          </cell>
          <cell r="T11">
            <v>20.18</v>
          </cell>
          <cell r="U11">
            <v>20.190000000000001</v>
          </cell>
          <cell r="V11">
            <v>20.2</v>
          </cell>
          <cell r="W11">
            <v>20.21</v>
          </cell>
          <cell r="X11">
            <v>20.22</v>
          </cell>
          <cell r="Y11">
            <v>20.23</v>
          </cell>
          <cell r="Z11">
            <v>20.239999999999998</v>
          </cell>
          <cell r="AA11">
            <v>20.25</v>
          </cell>
          <cell r="AB11">
            <v>20.260000000000002</v>
          </cell>
          <cell r="AC11">
            <v>20.27</v>
          </cell>
          <cell r="AD11">
            <v>20.28</v>
          </cell>
          <cell r="AE11">
            <v>20.29</v>
          </cell>
          <cell r="AF11">
            <v>20.3</v>
          </cell>
          <cell r="AG11">
            <v>20.309999999999999</v>
          </cell>
          <cell r="AH11">
            <v>20.32</v>
          </cell>
          <cell r="AI11">
            <v>20.329999999999998</v>
          </cell>
          <cell r="AJ11">
            <v>20.34</v>
          </cell>
          <cell r="AK11">
            <v>20.350000000000001</v>
          </cell>
          <cell r="AL11">
            <v>20.36</v>
          </cell>
          <cell r="AM11">
            <v>20.37</v>
          </cell>
          <cell r="AN11">
            <v>20.38</v>
          </cell>
          <cell r="AO11">
            <v>20.39</v>
          </cell>
          <cell r="AP11">
            <v>20.399999999999999</v>
          </cell>
          <cell r="AQ11">
            <v>20.41</v>
          </cell>
          <cell r="AR11">
            <v>20.420000000000002</v>
          </cell>
          <cell r="AS11">
            <v>20.43</v>
          </cell>
          <cell r="AT11">
            <v>20.440000000000001</v>
          </cell>
          <cell r="AU11">
            <v>20.45</v>
          </cell>
          <cell r="AV11">
            <v>20.46</v>
          </cell>
          <cell r="AW11">
            <v>20.47</v>
          </cell>
          <cell r="AX11">
            <v>20.48</v>
          </cell>
          <cell r="AY11">
            <v>20.49</v>
          </cell>
          <cell r="AZ11">
            <v>20.5</v>
          </cell>
          <cell r="BA11">
            <v>20.51</v>
          </cell>
          <cell r="BB11">
            <v>20.52</v>
          </cell>
          <cell r="BC11">
            <v>20.53</v>
          </cell>
          <cell r="BD11">
            <v>20.54</v>
          </cell>
          <cell r="BE11">
            <v>20.55</v>
          </cell>
          <cell r="BF11">
            <v>20.56</v>
          </cell>
          <cell r="BG11">
            <v>20.57</v>
          </cell>
          <cell r="BH11">
            <v>20.58</v>
          </cell>
          <cell r="BI11">
            <v>20.59</v>
          </cell>
          <cell r="BJ11">
            <v>20.6</v>
          </cell>
          <cell r="BK11">
            <v>20.61</v>
          </cell>
          <cell r="BL11">
            <v>20.62</v>
          </cell>
          <cell r="BM11">
            <v>20.63</v>
          </cell>
          <cell r="BN11">
            <v>20.64</v>
          </cell>
          <cell r="BO11">
            <v>20.65</v>
          </cell>
          <cell r="BP11">
            <v>20.66</v>
          </cell>
          <cell r="BQ11">
            <v>20.67</v>
          </cell>
          <cell r="BR11">
            <v>20.68</v>
          </cell>
          <cell r="BS11">
            <v>20.69</v>
          </cell>
          <cell r="BT11">
            <v>20.7</v>
          </cell>
          <cell r="BU11">
            <v>20.71</v>
          </cell>
          <cell r="BV11">
            <v>20.72</v>
          </cell>
          <cell r="BW11">
            <v>20.73</v>
          </cell>
          <cell r="BX11">
            <v>20.74</v>
          </cell>
          <cell r="BY11">
            <v>20.75</v>
          </cell>
          <cell r="BZ11">
            <v>20.76</v>
          </cell>
          <cell r="CA11">
            <v>20.77</v>
          </cell>
          <cell r="CB11">
            <v>20.78</v>
          </cell>
          <cell r="CC11">
            <v>20.79</v>
          </cell>
          <cell r="CD11">
            <v>20.8</v>
          </cell>
          <cell r="CE11">
            <v>20.81</v>
          </cell>
          <cell r="CF11">
            <v>20.82</v>
          </cell>
          <cell r="CG11">
            <v>20.83</v>
          </cell>
          <cell r="CH11">
            <v>20.84</v>
          </cell>
          <cell r="CI11">
            <v>20.85</v>
          </cell>
          <cell r="CJ11">
            <v>20.86</v>
          </cell>
          <cell r="CK11">
            <v>20.87</v>
          </cell>
          <cell r="CL11">
            <v>20.88</v>
          </cell>
          <cell r="CM11">
            <v>20.89</v>
          </cell>
          <cell r="CN11">
            <v>20.9</v>
          </cell>
          <cell r="CO11">
            <v>20.91</v>
          </cell>
          <cell r="CP11">
            <v>20.92</v>
          </cell>
          <cell r="CQ11">
            <v>20.93</v>
          </cell>
          <cell r="CR11">
            <v>20.94</v>
          </cell>
          <cell r="CS11">
            <v>20.95</v>
          </cell>
          <cell r="CT11">
            <v>20.96</v>
          </cell>
          <cell r="CU11">
            <v>20.97</v>
          </cell>
          <cell r="CV11">
            <v>20.98</v>
          </cell>
          <cell r="CW11">
            <v>20.99</v>
          </cell>
          <cell r="CX11">
            <v>21</v>
          </cell>
          <cell r="CY11">
            <v>21.01</v>
          </cell>
          <cell r="CZ11">
            <v>21.02</v>
          </cell>
          <cell r="DA11">
            <v>21.03</v>
          </cell>
          <cell r="DB11">
            <v>21.04</v>
          </cell>
          <cell r="DC11">
            <v>21.05</v>
          </cell>
          <cell r="DD11">
            <v>21.06</v>
          </cell>
          <cell r="DE11">
            <v>21.07</v>
          </cell>
          <cell r="DF11">
            <v>21.08</v>
          </cell>
          <cell r="DG11">
            <v>21.09</v>
          </cell>
          <cell r="DH11">
            <v>21.1</v>
          </cell>
          <cell r="DI11">
            <v>21.11</v>
          </cell>
          <cell r="DJ11">
            <v>21.12</v>
          </cell>
          <cell r="DK11">
            <v>21.13</v>
          </cell>
          <cell r="DL11">
            <v>21.14</v>
          </cell>
          <cell r="DM11">
            <v>21.15</v>
          </cell>
          <cell r="DN11">
            <v>21.16</v>
          </cell>
          <cell r="DO11">
            <v>21.17</v>
          </cell>
          <cell r="DP11">
            <v>21.18</v>
          </cell>
          <cell r="DQ11">
            <v>21.19</v>
          </cell>
          <cell r="DR11">
            <v>21.2</v>
          </cell>
          <cell r="DS11">
            <v>21.21</v>
          </cell>
          <cell r="DT11">
            <v>21.22</v>
          </cell>
          <cell r="DU11">
            <v>21.23</v>
          </cell>
          <cell r="DV11">
            <v>21.24</v>
          </cell>
          <cell r="DW11">
            <v>21.25</v>
          </cell>
          <cell r="DX11">
            <v>21.26</v>
          </cell>
          <cell r="DY11">
            <v>21.27</v>
          </cell>
          <cell r="DZ11">
            <v>21.28</v>
          </cell>
          <cell r="EA11">
            <v>21.29</v>
          </cell>
          <cell r="EB11">
            <v>21.3</v>
          </cell>
          <cell r="EC11">
            <v>21.31</v>
          </cell>
          <cell r="ED11">
            <v>21.32</v>
          </cell>
          <cell r="EE11">
            <v>21.33</v>
          </cell>
          <cell r="EF11">
            <v>21.34</v>
          </cell>
          <cell r="EG11">
            <v>21.35</v>
          </cell>
          <cell r="EH11">
            <v>21.36</v>
          </cell>
          <cell r="EI11">
            <v>21.37</v>
          </cell>
          <cell r="EJ11">
            <v>21.38</v>
          </cell>
          <cell r="EK11">
            <v>21.39</v>
          </cell>
          <cell r="EL11">
            <v>21.4</v>
          </cell>
          <cell r="EM11">
            <v>21.41</v>
          </cell>
          <cell r="EN11">
            <v>21.42</v>
          </cell>
          <cell r="EO11">
            <v>21.43</v>
          </cell>
          <cell r="EP11">
            <v>21.44</v>
          </cell>
          <cell r="EQ11">
            <v>21.45</v>
          </cell>
          <cell r="ER11">
            <v>21.46</v>
          </cell>
          <cell r="ES11">
            <v>21.47</v>
          </cell>
          <cell r="ET11">
            <v>21.48</v>
          </cell>
          <cell r="EU11">
            <v>21.49</v>
          </cell>
          <cell r="EV11">
            <v>21.5</v>
          </cell>
          <cell r="EW11">
            <v>21.51</v>
          </cell>
          <cell r="EX11">
            <v>21.52</v>
          </cell>
          <cell r="EY11">
            <v>21.53</v>
          </cell>
          <cell r="EZ11">
            <v>21.54</v>
          </cell>
          <cell r="FA11">
            <v>21.55</v>
          </cell>
          <cell r="FB11">
            <v>21.56</v>
          </cell>
          <cell r="FC11">
            <v>21.57</v>
          </cell>
          <cell r="FD11">
            <v>21.58</v>
          </cell>
          <cell r="FE11">
            <v>21.59</v>
          </cell>
          <cell r="FF11">
            <v>21.6</v>
          </cell>
          <cell r="FG11">
            <v>21.61</v>
          </cell>
          <cell r="FH11">
            <v>21.62</v>
          </cell>
          <cell r="FI11">
            <v>21.63</v>
          </cell>
          <cell r="FJ11">
            <v>21.64</v>
          </cell>
          <cell r="FK11">
            <v>21.65</v>
          </cell>
          <cell r="FL11">
            <v>21.66</v>
          </cell>
          <cell r="FM11">
            <v>21.67</v>
          </cell>
          <cell r="FN11">
            <v>21.68</v>
          </cell>
          <cell r="FO11">
            <v>21.69</v>
          </cell>
          <cell r="FP11">
            <v>21.7</v>
          </cell>
          <cell r="FQ11">
            <v>21.71</v>
          </cell>
          <cell r="FR11">
            <v>21.72</v>
          </cell>
          <cell r="FS11">
            <v>21.73</v>
          </cell>
          <cell r="FT11">
            <v>21.74</v>
          </cell>
          <cell r="FU11">
            <v>21.75</v>
          </cell>
          <cell r="FV11">
            <v>21.76</v>
          </cell>
          <cell r="FW11">
            <v>21.77</v>
          </cell>
          <cell r="FX11">
            <v>21.78</v>
          </cell>
          <cell r="FY11">
            <v>21.79</v>
          </cell>
          <cell r="FZ11">
            <v>21.8</v>
          </cell>
          <cell r="GA11">
            <v>21.81</v>
          </cell>
          <cell r="GB11">
            <v>21.82</v>
          </cell>
          <cell r="GC11">
            <v>21.83</v>
          </cell>
          <cell r="GD11">
            <v>21.84</v>
          </cell>
          <cell r="GE11">
            <v>21.85</v>
          </cell>
          <cell r="GF11">
            <v>21.86</v>
          </cell>
          <cell r="GG11">
            <v>21.87</v>
          </cell>
          <cell r="GH11">
            <v>21.88</v>
          </cell>
          <cell r="GI11">
            <v>21.89</v>
          </cell>
          <cell r="GJ11">
            <v>21.9</v>
          </cell>
          <cell r="GK11">
            <v>21.91</v>
          </cell>
          <cell r="GL11">
            <v>21.92</v>
          </cell>
          <cell r="GM11">
            <v>21.93</v>
          </cell>
          <cell r="GN11">
            <v>21.94</v>
          </cell>
          <cell r="GO11">
            <v>21.95</v>
          </cell>
          <cell r="GP11">
            <v>21.96</v>
          </cell>
          <cell r="GQ11">
            <v>21.97</v>
          </cell>
          <cell r="GR11">
            <v>21.98</v>
          </cell>
          <cell r="GS11">
            <v>21.99</v>
          </cell>
          <cell r="GT11">
            <v>22</v>
          </cell>
          <cell r="GU11">
            <v>22.01</v>
          </cell>
          <cell r="GV11">
            <v>22.02</v>
          </cell>
          <cell r="GW11">
            <v>22.03</v>
          </cell>
          <cell r="GX11">
            <v>22.04</v>
          </cell>
          <cell r="GY11">
            <v>22.05</v>
          </cell>
          <cell r="GZ11">
            <v>22.06</v>
          </cell>
          <cell r="HA11">
            <v>22.07</v>
          </cell>
          <cell r="HB11">
            <v>22.08</v>
          </cell>
          <cell r="HC11">
            <v>22.09</v>
          </cell>
          <cell r="HD11">
            <v>22.1</v>
          </cell>
          <cell r="HE11">
            <v>22.11</v>
          </cell>
          <cell r="HF11">
            <v>22.12</v>
          </cell>
          <cell r="HG11">
            <v>22.13</v>
          </cell>
          <cell r="HH11">
            <v>22.14</v>
          </cell>
          <cell r="HI11">
            <v>22.15</v>
          </cell>
          <cell r="HJ11">
            <v>22.16</v>
          </cell>
          <cell r="HK11">
            <v>22.17</v>
          </cell>
          <cell r="HL11">
            <v>22.18</v>
          </cell>
          <cell r="HM11">
            <v>22.19</v>
          </cell>
          <cell r="HN11">
            <v>22.2</v>
          </cell>
          <cell r="HO11">
            <v>22.21</v>
          </cell>
          <cell r="HP11">
            <v>22.22</v>
          </cell>
          <cell r="HQ11">
            <v>22.23</v>
          </cell>
          <cell r="HR11">
            <v>22.24</v>
          </cell>
          <cell r="HS11">
            <v>22.25</v>
          </cell>
          <cell r="HT11">
            <v>22.26</v>
          </cell>
          <cell r="HU11">
            <v>22.27</v>
          </cell>
          <cell r="HV11">
            <v>22.28</v>
          </cell>
          <cell r="HW11">
            <v>22.29</v>
          </cell>
          <cell r="HX11">
            <v>22.3</v>
          </cell>
          <cell r="HY11">
            <v>22.31</v>
          </cell>
          <cell r="HZ11">
            <v>22.32</v>
          </cell>
          <cell r="IA11">
            <v>22.33</v>
          </cell>
          <cell r="IB11">
            <v>22.34</v>
          </cell>
          <cell r="IC11">
            <v>22.35</v>
          </cell>
          <cell r="ID11">
            <v>22.36</v>
          </cell>
          <cell r="IE11">
            <v>22.37</v>
          </cell>
          <cell r="IF11">
            <v>22.38</v>
          </cell>
          <cell r="IG11">
            <v>22.39</v>
          </cell>
          <cell r="IH11">
            <v>22.4</v>
          </cell>
          <cell r="II11">
            <v>22.41</v>
          </cell>
          <cell r="IJ11">
            <v>22.42</v>
          </cell>
          <cell r="IK11">
            <v>22.43</v>
          </cell>
          <cell r="IL11">
            <v>22.44</v>
          </cell>
          <cell r="IM11">
            <v>22.45</v>
          </cell>
          <cell r="IN11">
            <v>22.46</v>
          </cell>
          <cell r="IO11">
            <v>22.47</v>
          </cell>
          <cell r="IP11">
            <v>22.48</v>
          </cell>
          <cell r="IQ11">
            <v>22.49</v>
          </cell>
          <cell r="IR11">
            <v>22.5</v>
          </cell>
          <cell r="IS11">
            <v>22.51</v>
          </cell>
          <cell r="IT11">
            <v>22.52</v>
          </cell>
          <cell r="IU11">
            <v>22.53</v>
          </cell>
          <cell r="IV11">
            <v>22.54</v>
          </cell>
          <cell r="IW11">
            <v>22.55</v>
          </cell>
          <cell r="IX11">
            <v>22.56</v>
          </cell>
          <cell r="IY11">
            <v>22.57</v>
          </cell>
          <cell r="IZ11">
            <v>22.58</v>
          </cell>
          <cell r="JA11">
            <v>22.59</v>
          </cell>
          <cell r="JB11">
            <v>22.6</v>
          </cell>
          <cell r="JC11">
            <v>22.61</v>
          </cell>
          <cell r="JD11">
            <v>22.62</v>
          </cell>
          <cell r="JE11">
            <v>22.63</v>
          </cell>
          <cell r="JF11">
            <v>22.64</v>
          </cell>
          <cell r="JG11">
            <v>22.65</v>
          </cell>
          <cell r="JH11">
            <v>22.66</v>
          </cell>
          <cell r="JI11">
            <v>22.67</v>
          </cell>
          <cell r="JJ11">
            <v>22.68</v>
          </cell>
          <cell r="JK11">
            <v>22.69</v>
          </cell>
          <cell r="JL11">
            <v>22.7</v>
          </cell>
          <cell r="JM11">
            <v>22.71</v>
          </cell>
          <cell r="JN11">
            <v>22.72</v>
          </cell>
          <cell r="JO11">
            <v>22.73</v>
          </cell>
          <cell r="JP11">
            <v>22.74</v>
          </cell>
          <cell r="JQ11">
            <v>22.75</v>
          </cell>
          <cell r="JR11">
            <v>22.76</v>
          </cell>
          <cell r="JS11">
            <v>22.77</v>
          </cell>
          <cell r="JT11">
            <v>22.78</v>
          </cell>
          <cell r="JU11">
            <v>22.79</v>
          </cell>
          <cell r="JV11">
            <v>22.8</v>
          </cell>
          <cell r="JW11">
            <v>22.81</v>
          </cell>
          <cell r="JX11">
            <v>22.82</v>
          </cell>
          <cell r="JY11">
            <v>22.83</v>
          </cell>
          <cell r="JZ11">
            <v>22.84</v>
          </cell>
          <cell r="KA11">
            <v>22.85</v>
          </cell>
          <cell r="KB11">
            <v>22.86</v>
          </cell>
          <cell r="KC11">
            <v>22.87</v>
          </cell>
          <cell r="KD11">
            <v>22.88</v>
          </cell>
          <cell r="KE11">
            <v>22.89</v>
          </cell>
          <cell r="KF11">
            <v>22.9</v>
          </cell>
          <cell r="KG11">
            <v>22.91</v>
          </cell>
          <cell r="KH11">
            <v>22.92</v>
          </cell>
          <cell r="KI11">
            <v>22.93</v>
          </cell>
          <cell r="KJ11">
            <v>22.94</v>
          </cell>
          <cell r="KK11">
            <v>22.95</v>
          </cell>
          <cell r="KL11">
            <v>22.96</v>
          </cell>
          <cell r="KM11">
            <v>22.97</v>
          </cell>
          <cell r="KN11">
            <v>22.98</v>
          </cell>
          <cell r="KO11">
            <v>22.99</v>
          </cell>
          <cell r="KP11">
            <v>23</v>
          </cell>
          <cell r="KQ11">
            <v>23.01</v>
          </cell>
          <cell r="KR11">
            <v>23.02</v>
          </cell>
          <cell r="KS11">
            <v>23.03</v>
          </cell>
          <cell r="KT11">
            <v>23.04</v>
          </cell>
          <cell r="KU11">
            <v>23.05</v>
          </cell>
          <cell r="KV11">
            <v>23.06</v>
          </cell>
          <cell r="KW11">
            <v>23.07</v>
          </cell>
          <cell r="KX11">
            <v>23.08</v>
          </cell>
          <cell r="KY11">
            <v>23.09</v>
          </cell>
          <cell r="KZ11">
            <v>23.1</v>
          </cell>
          <cell r="LA11">
            <v>23.11</v>
          </cell>
          <cell r="LB11">
            <v>23.12</v>
          </cell>
          <cell r="LC11">
            <v>23.13</v>
          </cell>
          <cell r="LD11">
            <v>23.14</v>
          </cell>
          <cell r="LE11">
            <v>23.15</v>
          </cell>
          <cell r="LF11">
            <v>23.16</v>
          </cell>
          <cell r="LG11">
            <v>23.17</v>
          </cell>
          <cell r="LH11">
            <v>23.18</v>
          </cell>
          <cell r="LI11">
            <v>23.19</v>
          </cell>
          <cell r="LJ11">
            <v>23.2</v>
          </cell>
          <cell r="LK11">
            <v>23.21</v>
          </cell>
          <cell r="LL11">
            <v>23.22</v>
          </cell>
          <cell r="LM11">
            <v>23.23</v>
          </cell>
          <cell r="LN11">
            <v>23.24</v>
          </cell>
          <cell r="LO11">
            <v>23.25</v>
          </cell>
          <cell r="LP11">
            <v>23.26</v>
          </cell>
          <cell r="LQ11">
            <v>23.27</v>
          </cell>
          <cell r="LR11">
            <v>23.28</v>
          </cell>
          <cell r="LS11">
            <v>23.29</v>
          </cell>
          <cell r="LT11">
            <v>23.3</v>
          </cell>
          <cell r="LU11">
            <v>23.31</v>
          </cell>
          <cell r="LV11">
            <v>23.32</v>
          </cell>
          <cell r="LW11">
            <v>23.33</v>
          </cell>
          <cell r="LX11">
            <v>23.34</v>
          </cell>
          <cell r="LY11">
            <v>23.35</v>
          </cell>
          <cell r="LZ11">
            <v>23.36</v>
          </cell>
          <cell r="MA11">
            <v>23.37</v>
          </cell>
          <cell r="MB11">
            <v>23.38</v>
          </cell>
          <cell r="MC11">
            <v>23.39</v>
          </cell>
          <cell r="MD11">
            <v>23.4</v>
          </cell>
          <cell r="ME11">
            <v>23.41</v>
          </cell>
          <cell r="MF11">
            <v>23.42</v>
          </cell>
          <cell r="MG11">
            <v>23.43</v>
          </cell>
          <cell r="MH11">
            <v>23.44</v>
          </cell>
          <cell r="MI11">
            <v>23.45</v>
          </cell>
          <cell r="MJ11">
            <v>23.46</v>
          </cell>
          <cell r="MK11">
            <v>23.47</v>
          </cell>
          <cell r="ML11">
            <v>23.48</v>
          </cell>
          <cell r="MM11">
            <v>23.49</v>
          </cell>
          <cell r="MN11">
            <v>23.5</v>
          </cell>
          <cell r="MO11">
            <v>23.51</v>
          </cell>
          <cell r="MP11">
            <v>23.52</v>
          </cell>
          <cell r="MQ11">
            <v>23.53</v>
          </cell>
          <cell r="MR11">
            <v>23.54</v>
          </cell>
          <cell r="MS11">
            <v>23.55</v>
          </cell>
          <cell r="MT11">
            <v>23.56</v>
          </cell>
          <cell r="MU11">
            <v>23.57</v>
          </cell>
          <cell r="MV11">
            <v>23.58</v>
          </cell>
          <cell r="MW11">
            <v>23.59</v>
          </cell>
          <cell r="MX11">
            <v>23.6</v>
          </cell>
          <cell r="MY11">
            <v>23.61</v>
          </cell>
          <cell r="MZ11">
            <v>23.62</v>
          </cell>
          <cell r="NA11">
            <v>23.63</v>
          </cell>
          <cell r="NB11">
            <v>23.64</v>
          </cell>
          <cell r="NC11">
            <v>23.65</v>
          </cell>
          <cell r="ND11">
            <v>23.66</v>
          </cell>
          <cell r="NE11">
            <v>23.67</v>
          </cell>
          <cell r="NF11">
            <v>23.68</v>
          </cell>
          <cell r="NG11">
            <v>23.69</v>
          </cell>
          <cell r="NH11">
            <v>23.7</v>
          </cell>
          <cell r="NI11">
            <v>23.71</v>
          </cell>
          <cell r="NJ11">
            <v>23.72</v>
          </cell>
          <cell r="NK11">
            <v>23.73</v>
          </cell>
          <cell r="NL11">
            <v>23.74</v>
          </cell>
          <cell r="NM11">
            <v>23.75</v>
          </cell>
          <cell r="NN11">
            <v>23.76</v>
          </cell>
          <cell r="NO11">
            <v>23.77</v>
          </cell>
          <cell r="NP11">
            <v>23.78</v>
          </cell>
          <cell r="NQ11">
            <v>23.79</v>
          </cell>
          <cell r="NR11">
            <v>23.8</v>
          </cell>
          <cell r="NS11">
            <v>23.81</v>
          </cell>
          <cell r="NT11">
            <v>23.82</v>
          </cell>
          <cell r="NU11">
            <v>23.83</v>
          </cell>
          <cell r="NV11">
            <v>23.84</v>
          </cell>
          <cell r="NW11">
            <v>23.85</v>
          </cell>
          <cell r="NX11">
            <v>23.86</v>
          </cell>
          <cell r="NY11">
            <v>23.87</v>
          </cell>
          <cell r="NZ11">
            <v>23.88</v>
          </cell>
          <cell r="OA11">
            <v>23.89</v>
          </cell>
          <cell r="OB11">
            <v>23.9</v>
          </cell>
          <cell r="OC11">
            <v>23.91</v>
          </cell>
          <cell r="OD11">
            <v>23.92</v>
          </cell>
          <cell r="OE11">
            <v>23.93</v>
          </cell>
          <cell r="OF11">
            <v>23.94</v>
          </cell>
          <cell r="OG11">
            <v>23.95</v>
          </cell>
          <cell r="OH11">
            <v>23.96</v>
          </cell>
          <cell r="OI11">
            <v>23.97</v>
          </cell>
          <cell r="OJ11">
            <v>23.98</v>
          </cell>
          <cell r="OK11">
            <v>23.99</v>
          </cell>
          <cell r="OL11">
            <v>24</v>
          </cell>
          <cell r="OM11">
            <v>24.01</v>
          </cell>
          <cell r="ON11">
            <v>24.02</v>
          </cell>
          <cell r="OO11">
            <v>24.03</v>
          </cell>
          <cell r="OP11">
            <v>24.04</v>
          </cell>
          <cell r="OQ11">
            <v>24.05</v>
          </cell>
          <cell r="OR11">
            <v>24.06</v>
          </cell>
          <cell r="OS11">
            <v>24.07</v>
          </cell>
          <cell r="OT11">
            <v>24.08</v>
          </cell>
          <cell r="OU11">
            <v>24.09</v>
          </cell>
          <cell r="OV11">
            <v>24.1</v>
          </cell>
          <cell r="OW11">
            <v>24.11</v>
          </cell>
          <cell r="OX11">
            <v>24.12</v>
          </cell>
          <cell r="OY11">
            <v>24.13</v>
          </cell>
          <cell r="OZ11">
            <v>24.14</v>
          </cell>
          <cell r="PA11">
            <v>24.15</v>
          </cell>
          <cell r="PB11">
            <v>24.16</v>
          </cell>
          <cell r="PC11">
            <v>24.17</v>
          </cell>
          <cell r="PD11">
            <v>24.18</v>
          </cell>
          <cell r="PE11">
            <v>24.19</v>
          </cell>
          <cell r="PF11">
            <v>24.2</v>
          </cell>
          <cell r="PG11">
            <v>24.21</v>
          </cell>
          <cell r="PH11">
            <v>24.22</v>
          </cell>
          <cell r="PI11">
            <v>24.23</v>
          </cell>
          <cell r="PJ11">
            <v>24.24</v>
          </cell>
          <cell r="PK11">
            <v>24.25</v>
          </cell>
          <cell r="PL11">
            <v>24.26</v>
          </cell>
          <cell r="PM11">
            <v>24.27</v>
          </cell>
          <cell r="PN11">
            <v>24.28</v>
          </cell>
          <cell r="PO11">
            <v>24.29</v>
          </cell>
          <cell r="PP11">
            <v>24.3</v>
          </cell>
          <cell r="PQ11">
            <v>24.31</v>
          </cell>
          <cell r="PR11">
            <v>24.32</v>
          </cell>
          <cell r="PS11">
            <v>24.33</v>
          </cell>
          <cell r="PT11">
            <v>24.34</v>
          </cell>
          <cell r="PU11">
            <v>24.35</v>
          </cell>
          <cell r="PV11">
            <v>24.36</v>
          </cell>
          <cell r="PW11">
            <v>24.37</v>
          </cell>
          <cell r="PX11">
            <v>24.38</v>
          </cell>
          <cell r="PY11">
            <v>24.39</v>
          </cell>
          <cell r="PZ11">
            <v>24.4</v>
          </cell>
          <cell r="QA11">
            <v>24.41</v>
          </cell>
          <cell r="QB11">
            <v>24.42</v>
          </cell>
          <cell r="QC11">
            <v>24.43</v>
          </cell>
          <cell r="QD11">
            <v>24.44</v>
          </cell>
          <cell r="QE11">
            <v>24.45</v>
          </cell>
          <cell r="QF11">
            <v>24.46</v>
          </cell>
          <cell r="QG11">
            <v>24.47</v>
          </cell>
          <cell r="QH11">
            <v>24.48</v>
          </cell>
          <cell r="QI11">
            <v>24.49</v>
          </cell>
          <cell r="QJ11">
            <v>24.5</v>
          </cell>
          <cell r="QK11">
            <v>24.51</v>
          </cell>
          <cell r="QL11">
            <v>24.52</v>
          </cell>
          <cell r="QM11">
            <v>24.53</v>
          </cell>
          <cell r="QN11">
            <v>24.54</v>
          </cell>
          <cell r="QO11">
            <v>24.55</v>
          </cell>
          <cell r="QP11">
            <v>24.56</v>
          </cell>
          <cell r="QQ11">
            <v>24.57</v>
          </cell>
          <cell r="QR11">
            <v>24.58</v>
          </cell>
          <cell r="QS11">
            <v>24.59</v>
          </cell>
          <cell r="QT11">
            <v>24.6</v>
          </cell>
          <cell r="QU11">
            <v>24.61</v>
          </cell>
          <cell r="QV11">
            <v>24.62</v>
          </cell>
          <cell r="QW11">
            <v>24.63</v>
          </cell>
          <cell r="QX11">
            <v>24.64</v>
          </cell>
          <cell r="QY11">
            <v>24.65</v>
          </cell>
          <cell r="QZ11">
            <v>24.66</v>
          </cell>
          <cell r="RA11">
            <v>24.67</v>
          </cell>
          <cell r="RB11">
            <v>24.68</v>
          </cell>
          <cell r="RC11">
            <v>24.69</v>
          </cell>
          <cell r="RD11">
            <v>24.7</v>
          </cell>
          <cell r="RE11">
            <v>24.71</v>
          </cell>
          <cell r="RF11">
            <v>24.72</v>
          </cell>
          <cell r="RG11">
            <v>24.73</v>
          </cell>
          <cell r="RH11">
            <v>24.74</v>
          </cell>
          <cell r="RI11">
            <v>24.75</v>
          </cell>
          <cell r="RJ11">
            <v>24.76</v>
          </cell>
          <cell r="RK11">
            <v>24.77</v>
          </cell>
          <cell r="RL11">
            <v>24.78</v>
          </cell>
          <cell r="RM11">
            <v>24.79</v>
          </cell>
          <cell r="RN11">
            <v>24.8</v>
          </cell>
          <cell r="RO11">
            <v>24.81</v>
          </cell>
          <cell r="RP11">
            <v>24.82</v>
          </cell>
          <cell r="RQ11">
            <v>24.83</v>
          </cell>
          <cell r="RR11">
            <v>24.84</v>
          </cell>
          <cell r="RS11">
            <v>24.85</v>
          </cell>
          <cell r="RT11">
            <v>24.86</v>
          </cell>
          <cell r="RU11">
            <v>24.87</v>
          </cell>
          <cell r="RV11">
            <v>24.88</v>
          </cell>
          <cell r="RW11">
            <v>24.89</v>
          </cell>
          <cell r="RX11">
            <v>24.9</v>
          </cell>
          <cell r="RY11">
            <v>24.91</v>
          </cell>
          <cell r="RZ11">
            <v>24.92</v>
          </cell>
          <cell r="SA11">
            <v>24.93</v>
          </cell>
          <cell r="SB11">
            <v>24.94</v>
          </cell>
          <cell r="SC11">
            <v>24.95</v>
          </cell>
          <cell r="SD11">
            <v>24.96</v>
          </cell>
          <cell r="SE11">
            <v>24.97</v>
          </cell>
          <cell r="SF11">
            <v>24.98</v>
          </cell>
          <cell r="SG11">
            <v>24.99</v>
          </cell>
          <cell r="SH11">
            <v>25</v>
          </cell>
          <cell r="SI11">
            <v>25.01</v>
          </cell>
          <cell r="SJ11">
            <v>25.02</v>
          </cell>
          <cell r="SK11">
            <v>25.03</v>
          </cell>
          <cell r="SL11">
            <v>25.04</v>
          </cell>
          <cell r="SM11">
            <v>25.05</v>
          </cell>
          <cell r="SN11">
            <v>25.06</v>
          </cell>
          <cell r="SO11">
            <v>25.07</v>
          </cell>
          <cell r="SP11">
            <v>25.08</v>
          </cell>
          <cell r="SQ11">
            <v>25.09</v>
          </cell>
          <cell r="SR11">
            <v>25.1</v>
          </cell>
          <cell r="SS11">
            <v>25.11</v>
          </cell>
          <cell r="ST11">
            <v>25.12</v>
          </cell>
          <cell r="SU11">
            <v>25.13</v>
          </cell>
          <cell r="SV11">
            <v>25.14</v>
          </cell>
          <cell r="SW11">
            <v>25.15</v>
          </cell>
          <cell r="SX11">
            <v>25.16</v>
          </cell>
          <cell r="SY11">
            <v>25.17</v>
          </cell>
          <cell r="SZ11">
            <v>25.18</v>
          </cell>
          <cell r="TA11">
            <v>25.19</v>
          </cell>
          <cell r="TB11">
            <v>25.2</v>
          </cell>
          <cell r="TC11">
            <v>25.21</v>
          </cell>
          <cell r="TD11">
            <v>25.22</v>
          </cell>
          <cell r="TE11">
            <v>25.23</v>
          </cell>
          <cell r="TF11">
            <v>25.24</v>
          </cell>
          <cell r="TG11">
            <v>25.25</v>
          </cell>
          <cell r="TH11">
            <v>25.26</v>
          </cell>
          <cell r="TI11">
            <v>25.27</v>
          </cell>
          <cell r="TJ11">
            <v>25.28</v>
          </cell>
          <cell r="TK11">
            <v>25.29</v>
          </cell>
          <cell r="TL11">
            <v>25.3</v>
          </cell>
          <cell r="TM11">
            <v>25.31</v>
          </cell>
          <cell r="TN11">
            <v>25.32</v>
          </cell>
          <cell r="TO11">
            <v>25.33</v>
          </cell>
          <cell r="TP11">
            <v>25.34</v>
          </cell>
          <cell r="TQ11">
            <v>25.35</v>
          </cell>
          <cell r="TR11">
            <v>25.36</v>
          </cell>
          <cell r="TS11">
            <v>25.37</v>
          </cell>
          <cell r="TT11">
            <v>25.38</v>
          </cell>
          <cell r="TU11">
            <v>25.39</v>
          </cell>
          <cell r="TV11">
            <v>25.4</v>
          </cell>
          <cell r="TW11">
            <v>25.41</v>
          </cell>
          <cell r="TX11">
            <v>25.42</v>
          </cell>
          <cell r="TY11">
            <v>25.43</v>
          </cell>
          <cell r="TZ11">
            <v>25.44</v>
          </cell>
          <cell r="UA11">
            <v>25.45</v>
          </cell>
          <cell r="UB11">
            <v>25.46</v>
          </cell>
          <cell r="UC11">
            <v>25.47</v>
          </cell>
          <cell r="UD11">
            <v>25.48</v>
          </cell>
          <cell r="UE11">
            <v>25.49</v>
          </cell>
          <cell r="UF11">
            <v>25.5</v>
          </cell>
          <cell r="UG11">
            <v>25.51</v>
          </cell>
          <cell r="UH11">
            <v>25.52</v>
          </cell>
          <cell r="UI11">
            <v>25.53</v>
          </cell>
          <cell r="UJ11">
            <v>25.54</v>
          </cell>
          <cell r="UK11">
            <v>25.55</v>
          </cell>
          <cell r="UL11">
            <v>25.56</v>
          </cell>
          <cell r="UM11">
            <v>25.57</v>
          </cell>
          <cell r="UN11">
            <v>25.58</v>
          </cell>
          <cell r="UO11">
            <v>25.59</v>
          </cell>
          <cell r="UP11">
            <v>25.6</v>
          </cell>
          <cell r="UQ11">
            <v>25.61</v>
          </cell>
          <cell r="UR11">
            <v>25.62</v>
          </cell>
          <cell r="US11">
            <v>25.63</v>
          </cell>
          <cell r="UT11">
            <v>25.64</v>
          </cell>
          <cell r="UU11">
            <v>25.65</v>
          </cell>
          <cell r="UV11">
            <v>25.66</v>
          </cell>
          <cell r="UW11">
            <v>25.67</v>
          </cell>
          <cell r="UX11">
            <v>25.68</v>
          </cell>
          <cell r="UY11">
            <v>25.69</v>
          </cell>
          <cell r="UZ11">
            <v>25.7</v>
          </cell>
          <cell r="VA11">
            <v>25.71</v>
          </cell>
          <cell r="VB11">
            <v>25.72</v>
          </cell>
          <cell r="VC11">
            <v>25.73</v>
          </cell>
          <cell r="VD11">
            <v>25.74</v>
          </cell>
          <cell r="VE11">
            <v>25.75</v>
          </cell>
          <cell r="VF11">
            <v>25.76</v>
          </cell>
          <cell r="VG11">
            <v>25.77</v>
          </cell>
          <cell r="VH11">
            <v>25.78</v>
          </cell>
          <cell r="VI11">
            <v>25.79</v>
          </cell>
          <cell r="VJ11">
            <v>25.8</v>
          </cell>
          <cell r="VK11">
            <v>25.81</v>
          </cell>
          <cell r="VL11">
            <v>25.82</v>
          </cell>
          <cell r="VM11">
            <v>25.83</v>
          </cell>
          <cell r="VN11">
            <v>25.84</v>
          </cell>
          <cell r="VO11">
            <v>25.85</v>
          </cell>
          <cell r="VP11">
            <v>25.86</v>
          </cell>
          <cell r="VQ11">
            <v>25.87</v>
          </cell>
          <cell r="VR11">
            <v>25.88</v>
          </cell>
          <cell r="VS11">
            <v>25.89</v>
          </cell>
          <cell r="VT11">
            <v>25.9</v>
          </cell>
          <cell r="VU11">
            <v>25.91</v>
          </cell>
          <cell r="VV11">
            <v>25.92</v>
          </cell>
          <cell r="VW11">
            <v>25.93</v>
          </cell>
          <cell r="VX11">
            <v>25.94</v>
          </cell>
          <cell r="VY11">
            <v>25.95</v>
          </cell>
          <cell r="VZ11">
            <v>25.96</v>
          </cell>
          <cell r="WA11">
            <v>25.97</v>
          </cell>
          <cell r="WB11">
            <v>25.98</v>
          </cell>
          <cell r="WC11">
            <v>25.99</v>
          </cell>
          <cell r="WD11">
            <v>26</v>
          </cell>
          <cell r="WE11">
            <v>26.01</v>
          </cell>
          <cell r="WF11">
            <v>26.02</v>
          </cell>
          <cell r="WG11">
            <v>26.03</v>
          </cell>
          <cell r="WH11">
            <v>26.04</v>
          </cell>
          <cell r="WI11">
            <v>26.05</v>
          </cell>
          <cell r="WJ11">
            <v>26.06</v>
          </cell>
          <cell r="WK11">
            <v>26.07</v>
          </cell>
          <cell r="WL11">
            <v>26.08</v>
          </cell>
          <cell r="WM11">
            <v>26.09</v>
          </cell>
          <cell r="WN11">
            <v>26.1</v>
          </cell>
          <cell r="WO11">
            <v>26.11</v>
          </cell>
          <cell r="WP11">
            <v>26.12</v>
          </cell>
          <cell r="WQ11">
            <v>26.13</v>
          </cell>
          <cell r="WR11">
            <v>26.14</v>
          </cell>
          <cell r="WS11">
            <v>26.15</v>
          </cell>
          <cell r="WT11">
            <v>26.16</v>
          </cell>
          <cell r="WU11">
            <v>26.17</v>
          </cell>
          <cell r="WV11">
            <v>26.18</v>
          </cell>
          <cell r="WW11">
            <v>26.19</v>
          </cell>
          <cell r="WX11">
            <v>26.2</v>
          </cell>
          <cell r="WY11">
            <v>26.21</v>
          </cell>
          <cell r="WZ11">
            <v>26.22</v>
          </cell>
          <cell r="XA11">
            <v>26.23</v>
          </cell>
          <cell r="XB11">
            <v>26.24</v>
          </cell>
          <cell r="XC11">
            <v>26.25</v>
          </cell>
          <cell r="XD11">
            <v>26.26</v>
          </cell>
          <cell r="XE11">
            <v>26.27</v>
          </cell>
          <cell r="XF11">
            <v>26.28</v>
          </cell>
          <cell r="XG11">
            <v>26.29</v>
          </cell>
          <cell r="XH11">
            <v>26.3</v>
          </cell>
          <cell r="XI11">
            <v>26.31</v>
          </cell>
          <cell r="XJ11">
            <v>26.32</v>
          </cell>
          <cell r="XK11">
            <v>26.33</v>
          </cell>
          <cell r="XL11">
            <v>26.34</v>
          </cell>
          <cell r="XM11">
            <v>26.35</v>
          </cell>
          <cell r="XN11">
            <v>26.36</v>
          </cell>
          <cell r="XO11">
            <v>26.37</v>
          </cell>
          <cell r="XP11">
            <v>26.38</v>
          </cell>
          <cell r="XQ11">
            <v>26.39</v>
          </cell>
          <cell r="XR11">
            <v>26.4</v>
          </cell>
          <cell r="XS11">
            <v>26.41</v>
          </cell>
          <cell r="XT11">
            <v>26.42</v>
          </cell>
          <cell r="XU11">
            <v>26.43</v>
          </cell>
          <cell r="XV11">
            <v>26.44</v>
          </cell>
          <cell r="XW11">
            <v>26.45</v>
          </cell>
          <cell r="XX11">
            <v>26.46</v>
          </cell>
          <cell r="XY11">
            <v>26.47</v>
          </cell>
          <cell r="XZ11">
            <v>26.48</v>
          </cell>
          <cell r="YA11">
            <v>26.49</v>
          </cell>
          <cell r="YB11">
            <v>26.5</v>
          </cell>
          <cell r="YC11">
            <v>26.51</v>
          </cell>
          <cell r="YD11">
            <v>26.52</v>
          </cell>
          <cell r="YE11">
            <v>26.53</v>
          </cell>
          <cell r="YF11">
            <v>26.54</v>
          </cell>
          <cell r="YG11">
            <v>26.55</v>
          </cell>
          <cell r="YH11">
            <v>26.56</v>
          </cell>
          <cell r="YI11">
            <v>26.57</v>
          </cell>
          <cell r="YJ11">
            <v>26.58</v>
          </cell>
          <cell r="YK11">
            <v>26.59</v>
          </cell>
          <cell r="YL11">
            <v>26.6</v>
          </cell>
          <cell r="YM11">
            <v>26.61</v>
          </cell>
          <cell r="YN11">
            <v>26.62</v>
          </cell>
          <cell r="YO11">
            <v>26.63</v>
          </cell>
          <cell r="YP11">
            <v>26.64</v>
          </cell>
          <cell r="YQ11">
            <v>26.65</v>
          </cell>
          <cell r="YR11">
            <v>26.66</v>
          </cell>
          <cell r="YS11">
            <v>26.67</v>
          </cell>
          <cell r="YT11">
            <v>26.68</v>
          </cell>
          <cell r="YU11">
            <v>26.69</v>
          </cell>
          <cell r="YV11">
            <v>26.7</v>
          </cell>
          <cell r="YW11">
            <v>26.71</v>
          </cell>
          <cell r="YX11">
            <v>26.72</v>
          </cell>
          <cell r="YY11">
            <v>26.73</v>
          </cell>
          <cell r="YZ11">
            <v>26.74</v>
          </cell>
          <cell r="ZA11">
            <v>26.75</v>
          </cell>
          <cell r="ZB11">
            <v>26.76</v>
          </cell>
          <cell r="ZC11">
            <v>26.77</v>
          </cell>
          <cell r="ZD11">
            <v>26.78</v>
          </cell>
          <cell r="ZE11">
            <v>26.79</v>
          </cell>
          <cell r="ZF11">
            <v>26.8</v>
          </cell>
          <cell r="ZG11">
            <v>26.81</v>
          </cell>
          <cell r="ZH11">
            <v>26.82</v>
          </cell>
          <cell r="ZI11">
            <v>26.83</v>
          </cell>
          <cell r="ZJ11">
            <v>26.84</v>
          </cell>
          <cell r="ZK11">
            <v>26.85</v>
          </cell>
          <cell r="ZL11">
            <v>26.86</v>
          </cell>
          <cell r="ZM11">
            <v>26.87</v>
          </cell>
          <cell r="ZN11">
            <v>26.88</v>
          </cell>
          <cell r="ZO11">
            <v>26.89</v>
          </cell>
          <cell r="ZP11">
            <v>26.9</v>
          </cell>
          <cell r="ZQ11">
            <v>26.91</v>
          </cell>
          <cell r="ZR11">
            <v>26.92</v>
          </cell>
          <cell r="ZS11">
            <v>26.93</v>
          </cell>
          <cell r="ZT11">
            <v>26.94</v>
          </cell>
          <cell r="ZU11">
            <v>26.95</v>
          </cell>
          <cell r="ZV11">
            <v>26.96</v>
          </cell>
          <cell r="ZW11">
            <v>26.97</v>
          </cell>
          <cell r="ZX11">
            <v>26.98</v>
          </cell>
          <cell r="ZY11">
            <v>26.99</v>
          </cell>
          <cell r="ZZ11">
            <v>27</v>
          </cell>
          <cell r="AAA11">
            <v>27.01</v>
          </cell>
          <cell r="AAB11">
            <v>27.02</v>
          </cell>
          <cell r="AAC11">
            <v>27.03</v>
          </cell>
          <cell r="AAD11">
            <v>27.04</v>
          </cell>
          <cell r="AAE11">
            <v>27.05</v>
          </cell>
          <cell r="AAF11">
            <v>27.06</v>
          </cell>
          <cell r="AAG11">
            <v>27.07</v>
          </cell>
          <cell r="AAH11">
            <v>27.08</v>
          </cell>
          <cell r="AAI11">
            <v>27.09</v>
          </cell>
          <cell r="AAJ11">
            <v>27.1</v>
          </cell>
          <cell r="AAK11">
            <v>27.11</v>
          </cell>
          <cell r="AAL11">
            <v>27.12</v>
          </cell>
          <cell r="AAM11">
            <v>27.13</v>
          </cell>
          <cell r="AAN11">
            <v>27.14</v>
          </cell>
          <cell r="AAO11">
            <v>27.15</v>
          </cell>
          <cell r="AAP11">
            <v>27.16</v>
          </cell>
          <cell r="AAQ11">
            <v>27.17</v>
          </cell>
          <cell r="AAR11">
            <v>27.18</v>
          </cell>
          <cell r="AAS11">
            <v>27.19</v>
          </cell>
          <cell r="AAT11">
            <v>27.2</v>
          </cell>
          <cell r="AAU11">
            <v>27.21</v>
          </cell>
          <cell r="AAV11">
            <v>27.22</v>
          </cell>
          <cell r="AAW11">
            <v>27.23</v>
          </cell>
          <cell r="AAX11">
            <v>27.24</v>
          </cell>
          <cell r="AAY11">
            <v>27.25</v>
          </cell>
          <cell r="AAZ11">
            <v>27.26</v>
          </cell>
          <cell r="ABA11">
            <v>27.27</v>
          </cell>
          <cell r="ABB11">
            <v>27.28</v>
          </cell>
          <cell r="ABC11">
            <v>27.29</v>
          </cell>
          <cell r="ABD11">
            <v>27.3</v>
          </cell>
          <cell r="ABE11">
            <v>27.31</v>
          </cell>
          <cell r="ABF11">
            <v>27.32</v>
          </cell>
          <cell r="ABG11">
            <v>27.33</v>
          </cell>
          <cell r="ABH11">
            <v>27.34</v>
          </cell>
          <cell r="ABI11">
            <v>27.35</v>
          </cell>
          <cell r="ABJ11">
            <v>27.36</v>
          </cell>
          <cell r="ABK11">
            <v>27.37</v>
          </cell>
          <cell r="ABL11">
            <v>27.38</v>
          </cell>
          <cell r="ABM11">
            <v>27.39</v>
          </cell>
          <cell r="ABN11">
            <v>27.4</v>
          </cell>
          <cell r="ABO11">
            <v>27.41</v>
          </cell>
          <cell r="ABP11">
            <v>27.42</v>
          </cell>
          <cell r="ABQ11">
            <v>27.43</v>
          </cell>
          <cell r="ABR11">
            <v>27.44</v>
          </cell>
          <cell r="ABS11">
            <v>27.45</v>
          </cell>
          <cell r="ABT11">
            <v>27.46</v>
          </cell>
          <cell r="ABU11">
            <v>27.47</v>
          </cell>
          <cell r="ABV11">
            <v>27.48</v>
          </cell>
          <cell r="ABW11">
            <v>27.49</v>
          </cell>
          <cell r="ABX11">
            <v>27.5</v>
          </cell>
          <cell r="ABY11">
            <v>27.51</v>
          </cell>
          <cell r="ABZ11">
            <v>27.52</v>
          </cell>
          <cell r="ACA11">
            <v>27.53</v>
          </cell>
          <cell r="ACB11">
            <v>27.54</v>
          </cell>
          <cell r="ACC11">
            <v>27.55</v>
          </cell>
          <cell r="ACD11">
            <v>27.56</v>
          </cell>
          <cell r="ACE11">
            <v>27.57</v>
          </cell>
          <cell r="ACF11">
            <v>27.58</v>
          </cell>
          <cell r="ACG11">
            <v>27.59</v>
          </cell>
          <cell r="ACH11">
            <v>27.6</v>
          </cell>
          <cell r="ACI11">
            <v>27.61</v>
          </cell>
          <cell r="ACJ11">
            <v>27.62</v>
          </cell>
          <cell r="ACK11">
            <v>27.63</v>
          </cell>
          <cell r="ACL11">
            <v>27.64</v>
          </cell>
          <cell r="ACM11">
            <v>27.65</v>
          </cell>
          <cell r="ACN11">
            <v>27.66</v>
          </cell>
          <cell r="ACO11">
            <v>27.67</v>
          </cell>
          <cell r="ACP11">
            <v>27.68</v>
          </cell>
          <cell r="ACQ11">
            <v>27.69</v>
          </cell>
          <cell r="ACR11">
            <v>27.7</v>
          </cell>
          <cell r="ACS11">
            <v>27.71</v>
          </cell>
          <cell r="ACT11">
            <v>27.72</v>
          </cell>
          <cell r="ACU11">
            <v>27.73</v>
          </cell>
          <cell r="ACV11">
            <v>27.74</v>
          </cell>
          <cell r="ACW11">
            <v>27.75</v>
          </cell>
          <cell r="ACX11">
            <v>27.76</v>
          </cell>
          <cell r="ACY11">
            <v>27.77</v>
          </cell>
          <cell r="ACZ11">
            <v>27.78</v>
          </cell>
          <cell r="ADA11">
            <v>27.79</v>
          </cell>
          <cell r="ADB11">
            <v>27.8</v>
          </cell>
          <cell r="ADC11">
            <v>27.81</v>
          </cell>
          <cell r="ADD11">
            <v>27.82</v>
          </cell>
          <cell r="ADE11">
            <v>27.83</v>
          </cell>
          <cell r="ADF11">
            <v>27.84</v>
          </cell>
          <cell r="ADG11">
            <v>27.85</v>
          </cell>
          <cell r="ADH11">
            <v>27.86</v>
          </cell>
          <cell r="ADI11">
            <v>27.87</v>
          </cell>
          <cell r="ADJ11">
            <v>27.88</v>
          </cell>
          <cell r="ADK11">
            <v>27.89</v>
          </cell>
          <cell r="ADL11">
            <v>27.9</v>
          </cell>
          <cell r="ADM11">
            <v>27.91</v>
          </cell>
          <cell r="ADN11">
            <v>27.92</v>
          </cell>
          <cell r="ADO11">
            <v>27.93</v>
          </cell>
          <cell r="ADP11">
            <v>27.94</v>
          </cell>
          <cell r="ADQ11">
            <v>27.95</v>
          </cell>
          <cell r="ADR11">
            <v>27.96</v>
          </cell>
          <cell r="ADS11">
            <v>27.97</v>
          </cell>
          <cell r="ADT11">
            <v>27.98</v>
          </cell>
          <cell r="ADU11">
            <v>27.99</v>
          </cell>
          <cell r="ADV11">
            <v>28</v>
          </cell>
          <cell r="ADW11">
            <v>28.01</v>
          </cell>
          <cell r="ADX11">
            <v>28.02</v>
          </cell>
          <cell r="ADY11">
            <v>28.03</v>
          </cell>
          <cell r="ADZ11">
            <v>28.04</v>
          </cell>
          <cell r="AEA11">
            <v>28.05</v>
          </cell>
          <cell r="AEB11">
            <v>28.06</v>
          </cell>
          <cell r="AEC11">
            <v>28.07</v>
          </cell>
          <cell r="AED11">
            <v>28.08</v>
          </cell>
          <cell r="AEE11">
            <v>28.09</v>
          </cell>
          <cell r="AEF11">
            <v>28.1</v>
          </cell>
          <cell r="AEG11">
            <v>28.11</v>
          </cell>
          <cell r="AEH11">
            <v>28.12</v>
          </cell>
          <cell r="AEI11">
            <v>28.13</v>
          </cell>
          <cell r="AEJ11">
            <v>28.14</v>
          </cell>
          <cell r="AEK11">
            <v>28.15</v>
          </cell>
          <cell r="AEL11">
            <v>28.16</v>
          </cell>
          <cell r="AEM11">
            <v>28.17</v>
          </cell>
          <cell r="AEN11">
            <v>28.18</v>
          </cell>
          <cell r="AEO11">
            <v>28.19</v>
          </cell>
          <cell r="AEP11">
            <v>28.2</v>
          </cell>
          <cell r="AEQ11">
            <v>28.21</v>
          </cell>
          <cell r="AER11">
            <v>28.22</v>
          </cell>
          <cell r="AES11">
            <v>28.23</v>
          </cell>
          <cell r="AET11">
            <v>28.24</v>
          </cell>
          <cell r="AEU11">
            <v>28.25</v>
          </cell>
          <cell r="AEV11">
            <v>28.26</v>
          </cell>
          <cell r="AEW11">
            <v>28.27</v>
          </cell>
          <cell r="AEX11">
            <v>28.28</v>
          </cell>
          <cell r="AEY11">
            <v>28.29</v>
          </cell>
          <cell r="AEZ11">
            <v>28.3</v>
          </cell>
          <cell r="AFA11">
            <v>28.31</v>
          </cell>
          <cell r="AFB11">
            <v>28.32</v>
          </cell>
          <cell r="AFC11">
            <v>28.33</v>
          </cell>
          <cell r="AFD11">
            <v>28.34</v>
          </cell>
          <cell r="AFE11">
            <v>28.35</v>
          </cell>
          <cell r="AFF11">
            <v>28.36</v>
          </cell>
          <cell r="AFG11">
            <v>28.37</v>
          </cell>
          <cell r="AFH11">
            <v>28.38</v>
          </cell>
          <cell r="AFI11">
            <v>28.39</v>
          </cell>
          <cell r="AFJ11">
            <v>28.4</v>
          </cell>
          <cell r="AFK11">
            <v>28.41</v>
          </cell>
          <cell r="AFL11">
            <v>28.42</v>
          </cell>
          <cell r="AFM11">
            <v>28.43</v>
          </cell>
          <cell r="AFN11">
            <v>28.44</v>
          </cell>
          <cell r="AFO11">
            <v>28.45</v>
          </cell>
          <cell r="AFP11">
            <v>28.46</v>
          </cell>
          <cell r="AFQ11">
            <v>28.47</v>
          </cell>
          <cell r="AFR11">
            <v>28.48</v>
          </cell>
          <cell r="AFS11">
            <v>28.49</v>
          </cell>
          <cell r="AFT11">
            <v>28.5</v>
          </cell>
          <cell r="AFU11">
            <v>28.51</v>
          </cell>
          <cell r="AFV11">
            <v>28.52</v>
          </cell>
          <cell r="AFW11">
            <v>28.53</v>
          </cell>
          <cell r="AFX11">
            <v>28.54</v>
          </cell>
          <cell r="AFY11">
            <v>28.55</v>
          </cell>
          <cell r="AFZ11">
            <v>28.56</v>
          </cell>
          <cell r="AGA11">
            <v>28.57</v>
          </cell>
          <cell r="AGB11">
            <v>28.58</v>
          </cell>
          <cell r="AGC11">
            <v>28.59</v>
          </cell>
          <cell r="AGD11">
            <v>28.6</v>
          </cell>
          <cell r="AGE11">
            <v>28.61</v>
          </cell>
          <cell r="AGF11">
            <v>28.62</v>
          </cell>
          <cell r="AGG11">
            <v>28.63</v>
          </cell>
          <cell r="AGH11">
            <v>28.64</v>
          </cell>
          <cell r="AGI11">
            <v>28.65</v>
          </cell>
          <cell r="AGJ11">
            <v>28.66</v>
          </cell>
          <cell r="AGK11">
            <v>28.67</v>
          </cell>
          <cell r="AGL11">
            <v>28.68</v>
          </cell>
          <cell r="AGM11">
            <v>28.69</v>
          </cell>
          <cell r="AGN11">
            <v>28.7</v>
          </cell>
          <cell r="AGO11">
            <v>28.71</v>
          </cell>
          <cell r="AGP11">
            <v>28.72</v>
          </cell>
          <cell r="AGQ11">
            <v>28.73</v>
          </cell>
          <cell r="AGR11">
            <v>28.74</v>
          </cell>
          <cell r="AGS11">
            <v>28.75</v>
          </cell>
          <cell r="AGT11">
            <v>28.76</v>
          </cell>
          <cell r="AGU11">
            <v>28.77</v>
          </cell>
          <cell r="AGV11">
            <v>28.78</v>
          </cell>
          <cell r="AGW11">
            <v>28.79</v>
          </cell>
          <cell r="AGX11">
            <v>28.8</v>
          </cell>
          <cell r="AGY11">
            <v>28.81</v>
          </cell>
          <cell r="AGZ11">
            <v>28.82</v>
          </cell>
          <cell r="AHA11">
            <v>28.83</v>
          </cell>
          <cell r="AHB11">
            <v>28.84</v>
          </cell>
          <cell r="AHC11">
            <v>28.85</v>
          </cell>
          <cell r="AHD11">
            <v>28.86</v>
          </cell>
          <cell r="AHE11">
            <v>28.87</v>
          </cell>
          <cell r="AHF11">
            <v>28.88</v>
          </cell>
          <cell r="AHG11">
            <v>28.89</v>
          </cell>
          <cell r="AHH11">
            <v>28.9</v>
          </cell>
          <cell r="AHI11">
            <v>28.91</v>
          </cell>
          <cell r="AHJ11">
            <v>28.92</v>
          </cell>
          <cell r="AHK11">
            <v>28.93</v>
          </cell>
          <cell r="AHL11">
            <v>28.94</v>
          </cell>
          <cell r="AHM11">
            <v>28.95</v>
          </cell>
          <cell r="AHN11">
            <v>28.96</v>
          </cell>
          <cell r="AHO11">
            <v>28.97</v>
          </cell>
          <cell r="AHP11">
            <v>28.98</v>
          </cell>
          <cell r="AHQ11">
            <v>28.99</v>
          </cell>
          <cell r="AHR11">
            <v>29</v>
          </cell>
          <cell r="AHS11">
            <v>29.01</v>
          </cell>
          <cell r="AHT11">
            <v>29.02</v>
          </cell>
          <cell r="AHU11">
            <v>29.03</v>
          </cell>
          <cell r="AHV11">
            <v>29.04</v>
          </cell>
          <cell r="AHW11">
            <v>29.05</v>
          </cell>
          <cell r="AHX11">
            <v>29.06</v>
          </cell>
          <cell r="AHY11">
            <v>29.07</v>
          </cell>
          <cell r="AHZ11">
            <v>29.08</v>
          </cell>
          <cell r="AIA11">
            <v>29.09</v>
          </cell>
          <cell r="AIB11">
            <v>29.1</v>
          </cell>
          <cell r="AIC11">
            <v>29.11</v>
          </cell>
          <cell r="AID11">
            <v>29.12</v>
          </cell>
          <cell r="AIE11">
            <v>29.13</v>
          </cell>
          <cell r="AIF11">
            <v>29.14</v>
          </cell>
          <cell r="AIG11">
            <v>29.15</v>
          </cell>
          <cell r="AIH11">
            <v>29.16</v>
          </cell>
          <cell r="AII11">
            <v>29.17</v>
          </cell>
          <cell r="AIJ11">
            <v>29.18</v>
          </cell>
          <cell r="AIK11">
            <v>29.19</v>
          </cell>
          <cell r="AIL11">
            <v>29.2</v>
          </cell>
          <cell r="AIM11">
            <v>29.21</v>
          </cell>
          <cell r="AIN11">
            <v>29.22</v>
          </cell>
          <cell r="AIO11">
            <v>29.23</v>
          </cell>
          <cell r="AIP11">
            <v>29.24</v>
          </cell>
          <cell r="AIQ11">
            <v>29.25</v>
          </cell>
          <cell r="AIR11">
            <v>29.26</v>
          </cell>
          <cell r="AIS11">
            <v>29.27</v>
          </cell>
          <cell r="AIT11">
            <v>29.28</v>
          </cell>
          <cell r="AIU11">
            <v>29.29</v>
          </cell>
          <cell r="AIV11">
            <v>29.3</v>
          </cell>
          <cell r="AIW11">
            <v>29.31</v>
          </cell>
          <cell r="AIX11">
            <v>29.32</v>
          </cell>
          <cell r="AIY11">
            <v>29.33</v>
          </cell>
          <cell r="AIZ11">
            <v>29.34</v>
          </cell>
          <cell r="AJA11">
            <v>29.35</v>
          </cell>
          <cell r="AJB11">
            <v>29.36</v>
          </cell>
          <cell r="AJC11">
            <v>29.37</v>
          </cell>
          <cell r="AJD11">
            <v>29.38</v>
          </cell>
          <cell r="AJE11">
            <v>29.39</v>
          </cell>
          <cell r="AJF11">
            <v>29.4</v>
          </cell>
          <cell r="AJG11">
            <v>29.41</v>
          </cell>
          <cell r="AJH11">
            <v>29.42</v>
          </cell>
          <cell r="AJI11">
            <v>29.43</v>
          </cell>
          <cell r="AJJ11">
            <v>29.44</v>
          </cell>
          <cell r="AJK11">
            <v>29.45</v>
          </cell>
          <cell r="AJL11">
            <v>29.46</v>
          </cell>
          <cell r="AJM11">
            <v>29.47</v>
          </cell>
          <cell r="AJN11">
            <v>29.48</v>
          </cell>
          <cell r="AJO11">
            <v>29.49</v>
          </cell>
          <cell r="AJP11">
            <v>29.5</v>
          </cell>
          <cell r="AJQ11">
            <v>29.51</v>
          </cell>
          <cell r="AJR11">
            <v>29.52</v>
          </cell>
          <cell r="AJS11">
            <v>29.53</v>
          </cell>
          <cell r="AJT11">
            <v>29.54</v>
          </cell>
          <cell r="AJU11">
            <v>29.55</v>
          </cell>
          <cell r="AJV11">
            <v>29.56</v>
          </cell>
          <cell r="AJW11">
            <v>29.57</v>
          </cell>
          <cell r="AJX11">
            <v>29.58</v>
          </cell>
          <cell r="AJY11">
            <v>29.59</v>
          </cell>
          <cell r="AJZ11">
            <v>29.6</v>
          </cell>
          <cell r="AKA11">
            <v>29.61</v>
          </cell>
          <cell r="AKB11">
            <v>29.62</v>
          </cell>
          <cell r="AKC11">
            <v>29.63</v>
          </cell>
          <cell r="AKD11">
            <v>29.64</v>
          </cell>
          <cell r="AKE11">
            <v>29.65</v>
          </cell>
          <cell r="AKF11">
            <v>29.66</v>
          </cell>
          <cell r="AKG11">
            <v>29.67</v>
          </cell>
          <cell r="AKH11">
            <v>29.68</v>
          </cell>
          <cell r="AKI11">
            <v>29.69</v>
          </cell>
          <cell r="AKJ11">
            <v>29.7</v>
          </cell>
          <cell r="AKK11">
            <v>29.71</v>
          </cell>
          <cell r="AKL11">
            <v>29.72</v>
          </cell>
          <cell r="AKM11">
            <v>29.73</v>
          </cell>
          <cell r="AKN11">
            <v>29.74</v>
          </cell>
          <cell r="AKO11">
            <v>29.75</v>
          </cell>
          <cell r="AKP11">
            <v>29.76</v>
          </cell>
          <cell r="AKQ11">
            <v>29.77</v>
          </cell>
          <cell r="AKR11">
            <v>29.78</v>
          </cell>
          <cell r="AKS11">
            <v>29.79</v>
          </cell>
          <cell r="AKT11">
            <v>29.8</v>
          </cell>
          <cell r="AKU11">
            <v>29.81</v>
          </cell>
          <cell r="AKV11">
            <v>29.82</v>
          </cell>
          <cell r="AKW11">
            <v>29.83</v>
          </cell>
          <cell r="AKX11">
            <v>29.84</v>
          </cell>
          <cell r="AKY11">
            <v>29.85</v>
          </cell>
          <cell r="AKZ11">
            <v>29.86</v>
          </cell>
          <cell r="ALA11">
            <v>29.87</v>
          </cell>
          <cell r="ALB11">
            <v>29.88</v>
          </cell>
          <cell r="ALC11">
            <v>29.89</v>
          </cell>
          <cell r="ALD11">
            <v>29.9</v>
          </cell>
          <cell r="ALE11">
            <v>29.91</v>
          </cell>
          <cell r="ALF11">
            <v>29.92</v>
          </cell>
          <cell r="ALG11">
            <v>29.93</v>
          </cell>
          <cell r="ALH11">
            <v>29.94</v>
          </cell>
          <cell r="ALI11">
            <v>29.95</v>
          </cell>
          <cell r="ALJ11">
            <v>29.96</v>
          </cell>
          <cell r="ALK11">
            <v>29.97</v>
          </cell>
          <cell r="ALL11">
            <v>29.98</v>
          </cell>
          <cell r="ALM11">
            <v>29.99</v>
          </cell>
          <cell r="ALN11">
            <v>30</v>
          </cell>
          <cell r="ALO11">
            <v>30.01</v>
          </cell>
          <cell r="ALP11">
            <v>30.02</v>
          </cell>
          <cell r="ALQ11">
            <v>30.03</v>
          </cell>
          <cell r="ALR11">
            <v>30.04</v>
          </cell>
          <cell r="ALS11">
            <v>30.05</v>
          </cell>
          <cell r="ALT11">
            <v>30.06</v>
          </cell>
          <cell r="ALU11">
            <v>30.07</v>
          </cell>
          <cell r="ALV11">
            <v>30.08</v>
          </cell>
          <cell r="ALW11">
            <v>30.09</v>
          </cell>
          <cell r="ALX11">
            <v>30.1</v>
          </cell>
          <cell r="ALY11">
            <v>30.11</v>
          </cell>
          <cell r="ALZ11">
            <v>30.12</v>
          </cell>
          <cell r="AMA11">
            <v>30.13</v>
          </cell>
          <cell r="AMB11">
            <v>30.14</v>
          </cell>
          <cell r="AMC11">
            <v>30.15</v>
          </cell>
          <cell r="AMD11">
            <v>30.16</v>
          </cell>
          <cell r="AME11">
            <v>30.17</v>
          </cell>
          <cell r="AMF11">
            <v>30.18</v>
          </cell>
          <cell r="AMG11">
            <v>30.19</v>
          </cell>
          <cell r="AMH11">
            <v>30.2</v>
          </cell>
          <cell r="AMI11">
            <v>30.21</v>
          </cell>
          <cell r="AMJ11">
            <v>30.22</v>
          </cell>
          <cell r="AMK11">
            <v>30.23</v>
          </cell>
          <cell r="AML11">
            <v>30.24</v>
          </cell>
          <cell r="AMM11">
            <v>30.25</v>
          </cell>
          <cell r="AMN11">
            <v>30.26</v>
          </cell>
          <cell r="AMO11">
            <v>30.27</v>
          </cell>
          <cell r="AMP11">
            <v>30.28</v>
          </cell>
          <cell r="AMQ11">
            <v>30.29</v>
          </cell>
          <cell r="AMR11">
            <v>30.3</v>
          </cell>
          <cell r="AMS11">
            <v>30.31</v>
          </cell>
          <cell r="AMT11">
            <v>30.32</v>
          </cell>
          <cell r="AMU11">
            <v>30.33</v>
          </cell>
          <cell r="AMV11">
            <v>30.34</v>
          </cell>
          <cell r="AMW11">
            <v>30.35</v>
          </cell>
          <cell r="AMX11">
            <v>30.36</v>
          </cell>
          <cell r="AMY11">
            <v>30.37</v>
          </cell>
          <cell r="AMZ11">
            <v>30.38</v>
          </cell>
          <cell r="ANA11">
            <v>30.39</v>
          </cell>
          <cell r="ANB11">
            <v>30.4</v>
          </cell>
          <cell r="ANC11">
            <v>30.41</v>
          </cell>
          <cell r="AND11">
            <v>30.42</v>
          </cell>
          <cell r="ANE11">
            <v>30.43</v>
          </cell>
          <cell r="ANF11">
            <v>30.44</v>
          </cell>
          <cell r="ANG11">
            <v>30.45</v>
          </cell>
          <cell r="ANH11">
            <v>30.46</v>
          </cell>
          <cell r="ANI11">
            <v>30.47</v>
          </cell>
          <cell r="ANJ11">
            <v>30.48</v>
          </cell>
          <cell r="ANK11">
            <v>30.49</v>
          </cell>
          <cell r="ANL11">
            <v>30.5</v>
          </cell>
          <cell r="ANM11">
            <v>30.51</v>
          </cell>
          <cell r="ANN11">
            <v>30.52</v>
          </cell>
          <cell r="ANO11">
            <v>30.53</v>
          </cell>
          <cell r="ANP11">
            <v>30.54</v>
          </cell>
          <cell r="ANQ11">
            <v>30.55</v>
          </cell>
          <cell r="ANR11">
            <v>30.56</v>
          </cell>
          <cell r="ANS11">
            <v>30.57</v>
          </cell>
          <cell r="ANT11">
            <v>30.58</v>
          </cell>
          <cell r="ANU11">
            <v>30.59</v>
          </cell>
          <cell r="ANV11">
            <v>30.6</v>
          </cell>
          <cell r="ANW11">
            <v>30.61</v>
          </cell>
          <cell r="ANX11">
            <v>30.62</v>
          </cell>
          <cell r="ANY11">
            <v>30.63</v>
          </cell>
          <cell r="ANZ11">
            <v>30.64</v>
          </cell>
          <cell r="AOA11">
            <v>30.65</v>
          </cell>
          <cell r="AOB11">
            <v>30.66</v>
          </cell>
          <cell r="AOC11">
            <v>30.67</v>
          </cell>
          <cell r="AOD11">
            <v>30.68</v>
          </cell>
          <cell r="AOE11">
            <v>30.69</v>
          </cell>
          <cell r="AOF11">
            <v>30.7</v>
          </cell>
          <cell r="AOG11">
            <v>30.71</v>
          </cell>
          <cell r="AOH11">
            <v>30.72</v>
          </cell>
          <cell r="AOI11">
            <v>30.73</v>
          </cell>
          <cell r="AOJ11">
            <v>30.74</v>
          </cell>
          <cell r="AOK11">
            <v>30.75</v>
          </cell>
          <cell r="AOL11">
            <v>30.76</v>
          </cell>
          <cell r="AOM11">
            <v>30.77</v>
          </cell>
          <cell r="AON11">
            <v>30.78</v>
          </cell>
          <cell r="AOO11">
            <v>30.79</v>
          </cell>
          <cell r="AOP11">
            <v>30.8</v>
          </cell>
          <cell r="AOQ11">
            <v>30.81</v>
          </cell>
          <cell r="AOR11">
            <v>30.82</v>
          </cell>
          <cell r="AOS11">
            <v>30.83</v>
          </cell>
          <cell r="AOT11">
            <v>30.84</v>
          </cell>
          <cell r="AOU11">
            <v>30.85</v>
          </cell>
          <cell r="AOV11">
            <v>30.86</v>
          </cell>
          <cell r="AOW11">
            <v>30.87</v>
          </cell>
          <cell r="AOX11">
            <v>30.88</v>
          </cell>
          <cell r="AOY11">
            <v>30.89</v>
          </cell>
          <cell r="AOZ11">
            <v>30.9</v>
          </cell>
          <cell r="APA11">
            <v>30.91</v>
          </cell>
          <cell r="APB11">
            <v>30.92</v>
          </cell>
          <cell r="APC11">
            <v>30.93</v>
          </cell>
          <cell r="APD11">
            <v>30.94</v>
          </cell>
          <cell r="APE11">
            <v>30.95</v>
          </cell>
          <cell r="APF11">
            <v>30.96</v>
          </cell>
          <cell r="APG11">
            <v>30.97</v>
          </cell>
          <cell r="APH11">
            <v>30.98</v>
          </cell>
          <cell r="API11">
            <v>30.99</v>
          </cell>
          <cell r="APJ11">
            <v>31</v>
          </cell>
          <cell r="APK11">
            <v>31.01</v>
          </cell>
          <cell r="APL11">
            <v>31.02</v>
          </cell>
          <cell r="APM11">
            <v>31.03</v>
          </cell>
          <cell r="APN11">
            <v>31.04</v>
          </cell>
          <cell r="APO11">
            <v>31.05</v>
          </cell>
          <cell r="APP11">
            <v>31.06</v>
          </cell>
          <cell r="APQ11">
            <v>31.07</v>
          </cell>
          <cell r="APR11">
            <v>31.08</v>
          </cell>
          <cell r="APS11">
            <v>31.09</v>
          </cell>
          <cell r="APT11">
            <v>31.1</v>
          </cell>
          <cell r="APU11">
            <v>31.11</v>
          </cell>
          <cell r="APV11">
            <v>31.12</v>
          </cell>
          <cell r="APW11">
            <v>31.13</v>
          </cell>
          <cell r="APX11">
            <v>31.14</v>
          </cell>
          <cell r="APY11">
            <v>31.15</v>
          </cell>
          <cell r="APZ11">
            <v>31.16</v>
          </cell>
          <cell r="AQA11">
            <v>31.17</v>
          </cell>
          <cell r="AQB11">
            <v>31.18</v>
          </cell>
          <cell r="AQC11">
            <v>31.19</v>
          </cell>
          <cell r="AQD11">
            <v>31.2</v>
          </cell>
          <cell r="AQE11">
            <v>31.21</v>
          </cell>
          <cell r="AQF11">
            <v>31.22</v>
          </cell>
          <cell r="AQG11">
            <v>31.23</v>
          </cell>
          <cell r="AQH11">
            <v>31.24</v>
          </cell>
          <cell r="AQI11">
            <v>31.25</v>
          </cell>
          <cell r="AQJ11">
            <v>31.26</v>
          </cell>
          <cell r="AQK11">
            <v>31.27</v>
          </cell>
          <cell r="AQL11">
            <v>31.28</v>
          </cell>
          <cell r="AQM11">
            <v>31.29</v>
          </cell>
          <cell r="AQN11">
            <v>31.3</v>
          </cell>
          <cell r="AQO11">
            <v>31.31</v>
          </cell>
          <cell r="AQP11">
            <v>31.32</v>
          </cell>
          <cell r="AQQ11">
            <v>31.33</v>
          </cell>
          <cell r="AQR11">
            <v>31.34</v>
          </cell>
          <cell r="AQS11">
            <v>31.35</v>
          </cell>
          <cell r="AQT11">
            <v>31.36</v>
          </cell>
          <cell r="AQU11">
            <v>31.37</v>
          </cell>
          <cell r="AQV11">
            <v>31.38</v>
          </cell>
          <cell r="AQW11">
            <v>31.39</v>
          </cell>
          <cell r="AQX11">
            <v>31.4</v>
          </cell>
          <cell r="AQY11">
            <v>31.41</v>
          </cell>
          <cell r="AQZ11">
            <v>31.42</v>
          </cell>
          <cell r="ARA11">
            <v>31.43</v>
          </cell>
          <cell r="ARB11">
            <v>31.44</v>
          </cell>
          <cell r="ARC11">
            <v>31.45</v>
          </cell>
          <cell r="ARD11">
            <v>31.46</v>
          </cell>
          <cell r="ARE11">
            <v>31.47</v>
          </cell>
          <cell r="ARF11">
            <v>31.48</v>
          </cell>
          <cell r="ARG11">
            <v>31.49</v>
          </cell>
          <cell r="ARH11">
            <v>31.5</v>
          </cell>
          <cell r="ARI11">
            <v>31.51</v>
          </cell>
          <cell r="ARJ11">
            <v>31.52</v>
          </cell>
          <cell r="ARK11">
            <v>31.53</v>
          </cell>
          <cell r="ARL11">
            <v>31.54</v>
          </cell>
          <cell r="ARM11">
            <v>31.55</v>
          </cell>
          <cell r="ARN11">
            <v>31.56</v>
          </cell>
          <cell r="ARO11">
            <v>31.57</v>
          </cell>
          <cell r="ARP11">
            <v>31.58</v>
          </cell>
          <cell r="ARQ11">
            <v>31.59</v>
          </cell>
          <cell r="ARR11">
            <v>31.6</v>
          </cell>
          <cell r="ARS11">
            <v>31.61</v>
          </cell>
          <cell r="ART11">
            <v>31.62</v>
          </cell>
          <cell r="ARU11">
            <v>31.63</v>
          </cell>
          <cell r="ARV11">
            <v>31.64</v>
          </cell>
          <cell r="ARW11">
            <v>31.65</v>
          </cell>
          <cell r="ARX11">
            <v>31.66</v>
          </cell>
          <cell r="ARY11">
            <v>31.67</v>
          </cell>
          <cell r="ARZ11">
            <v>31.68</v>
          </cell>
          <cell r="ASA11">
            <v>31.69</v>
          </cell>
          <cell r="ASB11">
            <v>31.7</v>
          </cell>
          <cell r="ASC11">
            <v>31.71</v>
          </cell>
          <cell r="ASD11">
            <v>31.72</v>
          </cell>
          <cell r="ASE11">
            <v>31.73</v>
          </cell>
          <cell r="ASF11">
            <v>31.74</v>
          </cell>
          <cell r="ASG11">
            <v>31.75</v>
          </cell>
          <cell r="ASH11">
            <v>31.76</v>
          </cell>
          <cell r="ASI11">
            <v>31.77</v>
          </cell>
          <cell r="ASJ11">
            <v>31.78</v>
          </cell>
          <cell r="ASK11">
            <v>31.79</v>
          </cell>
          <cell r="ASL11">
            <v>31.8</v>
          </cell>
          <cell r="ASM11">
            <v>31.81</v>
          </cell>
          <cell r="ASN11">
            <v>31.82</v>
          </cell>
          <cell r="ASO11">
            <v>31.83</v>
          </cell>
          <cell r="ASP11">
            <v>31.84</v>
          </cell>
          <cell r="ASQ11">
            <v>31.85</v>
          </cell>
          <cell r="ASR11">
            <v>31.86</v>
          </cell>
          <cell r="ASS11">
            <v>31.87</v>
          </cell>
          <cell r="AST11">
            <v>31.88</v>
          </cell>
          <cell r="ASU11">
            <v>31.89</v>
          </cell>
          <cell r="ASV11">
            <v>31.9</v>
          </cell>
          <cell r="ASW11">
            <v>31.91</v>
          </cell>
          <cell r="ASX11">
            <v>31.92</v>
          </cell>
          <cell r="ASY11">
            <v>31.93</v>
          </cell>
          <cell r="ASZ11">
            <v>31.94</v>
          </cell>
          <cell r="ATA11">
            <v>31.95</v>
          </cell>
          <cell r="ATB11">
            <v>31.96</v>
          </cell>
          <cell r="ATC11">
            <v>31.97</v>
          </cell>
          <cell r="ATD11">
            <v>31.98</v>
          </cell>
          <cell r="ATE11">
            <v>31.99</v>
          </cell>
          <cell r="ATF11">
            <v>32</v>
          </cell>
          <cell r="ATG11">
            <v>32.01</v>
          </cell>
          <cell r="ATH11">
            <v>32.020000000000003</v>
          </cell>
          <cell r="ATI11">
            <v>32.03</v>
          </cell>
          <cell r="ATJ11">
            <v>32.04</v>
          </cell>
          <cell r="ATK11">
            <v>32.049999999999997</v>
          </cell>
          <cell r="ATL11">
            <v>32.06</v>
          </cell>
          <cell r="ATM11">
            <v>32.07</v>
          </cell>
          <cell r="ATN11">
            <v>32.08</v>
          </cell>
          <cell r="ATO11">
            <v>32.090000000000003</v>
          </cell>
          <cell r="ATP11">
            <v>32.1</v>
          </cell>
          <cell r="ATQ11">
            <v>32.11</v>
          </cell>
          <cell r="ATR11">
            <v>32.119999999999997</v>
          </cell>
          <cell r="ATS11">
            <v>32.130000000000003</v>
          </cell>
          <cell r="ATT11">
            <v>32.14</v>
          </cell>
          <cell r="ATU11">
            <v>32.15</v>
          </cell>
          <cell r="ATV11">
            <v>32.159999999999997</v>
          </cell>
          <cell r="ATW11">
            <v>32.17</v>
          </cell>
          <cell r="ATX11">
            <v>32.18</v>
          </cell>
          <cell r="ATY11">
            <v>32.19</v>
          </cell>
          <cell r="ATZ11">
            <v>32.200000000000003</v>
          </cell>
          <cell r="AUA11">
            <v>32.21</v>
          </cell>
          <cell r="AUB11">
            <v>32.22</v>
          </cell>
          <cell r="AUC11">
            <v>32.229999999999997</v>
          </cell>
          <cell r="AUD11">
            <v>32.24</v>
          </cell>
          <cell r="AUE11">
            <v>32.25</v>
          </cell>
          <cell r="AUF11">
            <v>32.26</v>
          </cell>
          <cell r="AUG11">
            <v>32.270000000000003</v>
          </cell>
          <cell r="AUH11">
            <v>32.28</v>
          </cell>
          <cell r="AUI11">
            <v>32.29</v>
          </cell>
          <cell r="AUJ11">
            <v>32.299999999999997</v>
          </cell>
          <cell r="AUK11">
            <v>32.31</v>
          </cell>
          <cell r="AUL11">
            <v>32.32</v>
          </cell>
          <cell r="AUM11">
            <v>32.33</v>
          </cell>
          <cell r="AUN11">
            <v>32.340000000000003</v>
          </cell>
          <cell r="AUO11">
            <v>32.35</v>
          </cell>
          <cell r="AUP11">
            <v>32.36</v>
          </cell>
          <cell r="AUQ11">
            <v>32.369999999999997</v>
          </cell>
          <cell r="AUR11">
            <v>32.380000000000003</v>
          </cell>
          <cell r="AUS11">
            <v>32.39</v>
          </cell>
          <cell r="AUT11">
            <v>32.4</v>
          </cell>
          <cell r="AUU11">
            <v>32.409999999999997</v>
          </cell>
          <cell r="AUV11">
            <v>32.42</v>
          </cell>
          <cell r="AUW11">
            <v>32.43</v>
          </cell>
          <cell r="AUX11">
            <v>32.44</v>
          </cell>
          <cell r="AUY11">
            <v>32.450000000000003</v>
          </cell>
          <cell r="AUZ11">
            <v>32.46</v>
          </cell>
          <cell r="AVA11">
            <v>32.47</v>
          </cell>
          <cell r="AVB11">
            <v>32.479999999999997</v>
          </cell>
          <cell r="AVC11">
            <v>32.49</v>
          </cell>
          <cell r="AVD11">
            <v>32.5</v>
          </cell>
          <cell r="AVE11">
            <v>32.51</v>
          </cell>
          <cell r="AVF11">
            <v>32.520000000000003</v>
          </cell>
          <cell r="AVG11">
            <v>32.53</v>
          </cell>
          <cell r="AVH11">
            <v>32.54</v>
          </cell>
          <cell r="AVI11">
            <v>32.549999999999997</v>
          </cell>
          <cell r="AVJ11">
            <v>32.56</v>
          </cell>
          <cell r="AVK11">
            <v>32.57</v>
          </cell>
          <cell r="AVL11">
            <v>32.58</v>
          </cell>
          <cell r="AVM11">
            <v>32.590000000000003</v>
          </cell>
          <cell r="AVN11">
            <v>32.6</v>
          </cell>
          <cell r="AVO11">
            <v>32.61</v>
          </cell>
          <cell r="AVP11">
            <v>32.619999999999997</v>
          </cell>
          <cell r="AVQ11">
            <v>32.630000000000003</v>
          </cell>
          <cell r="AVR11">
            <v>32.64</v>
          </cell>
          <cell r="AVS11">
            <v>32.65</v>
          </cell>
          <cell r="AVT11">
            <v>32.659999999999997</v>
          </cell>
          <cell r="AVU11">
            <v>32.67</v>
          </cell>
          <cell r="AVV11">
            <v>32.68</v>
          </cell>
          <cell r="AVW11">
            <v>32.69</v>
          </cell>
          <cell r="AVX11">
            <v>32.700000000000003</v>
          </cell>
          <cell r="AVY11">
            <v>32.71</v>
          </cell>
          <cell r="AVZ11">
            <v>32.72</v>
          </cell>
          <cell r="AWA11">
            <v>32.729999999999997</v>
          </cell>
          <cell r="AWB11">
            <v>32.74</v>
          </cell>
          <cell r="AWC11">
            <v>32.75</v>
          </cell>
          <cell r="AWD11">
            <v>32.76</v>
          </cell>
          <cell r="AWE11">
            <v>32.770000000000003</v>
          </cell>
          <cell r="AWF11">
            <v>32.78</v>
          </cell>
          <cell r="AWG11">
            <v>32.79</v>
          </cell>
          <cell r="AWH11">
            <v>32.799999999999997</v>
          </cell>
          <cell r="AWI11">
            <v>32.81</v>
          </cell>
          <cell r="AWJ11">
            <v>32.82</v>
          </cell>
          <cell r="AWK11">
            <v>32.83</v>
          </cell>
          <cell r="AWL11">
            <v>32.840000000000003</v>
          </cell>
          <cell r="AWM11">
            <v>32.85</v>
          </cell>
          <cell r="AWN11">
            <v>32.86</v>
          </cell>
          <cell r="AWO11">
            <v>32.869999999999997</v>
          </cell>
          <cell r="AWP11">
            <v>32.880000000000003</v>
          </cell>
          <cell r="AWQ11">
            <v>32.89</v>
          </cell>
          <cell r="AWR11">
            <v>32.9</v>
          </cell>
          <cell r="AWS11">
            <v>32.909999999999997</v>
          </cell>
          <cell r="AWT11">
            <v>32.92</v>
          </cell>
          <cell r="AWU11">
            <v>32.93</v>
          </cell>
          <cell r="AWV11">
            <v>32.94</v>
          </cell>
          <cell r="AWW11">
            <v>32.950000000000003</v>
          </cell>
          <cell r="AWX11">
            <v>32.96</v>
          </cell>
          <cell r="AWY11">
            <v>32.97</v>
          </cell>
          <cell r="AWZ11">
            <v>32.979999999999997</v>
          </cell>
          <cell r="AXA11">
            <v>32.99</v>
          </cell>
          <cell r="AXB11">
            <v>33</v>
          </cell>
          <cell r="AXC11">
            <v>33.01</v>
          </cell>
          <cell r="AXD11">
            <v>33.020000000000003</v>
          </cell>
          <cell r="AXE11">
            <v>33.03</v>
          </cell>
          <cell r="AXF11">
            <v>33.04</v>
          </cell>
          <cell r="AXG11">
            <v>33.049999999999997</v>
          </cell>
          <cell r="AXH11">
            <v>33.06</v>
          </cell>
          <cell r="AXI11">
            <v>33.07</v>
          </cell>
          <cell r="AXJ11">
            <v>33.08</v>
          </cell>
          <cell r="AXK11">
            <v>33.090000000000003</v>
          </cell>
          <cell r="AXL11">
            <v>33.1</v>
          </cell>
          <cell r="AXM11">
            <v>33.11</v>
          </cell>
          <cell r="AXN11">
            <v>33.119999999999997</v>
          </cell>
          <cell r="AXO11">
            <v>33.130000000000003</v>
          </cell>
          <cell r="AXP11">
            <v>33.14</v>
          </cell>
          <cell r="AXQ11">
            <v>33.15</v>
          </cell>
          <cell r="AXR11">
            <v>33.159999999999997</v>
          </cell>
          <cell r="AXS11">
            <v>33.17</v>
          </cell>
          <cell r="AXT11">
            <v>33.18</v>
          </cell>
          <cell r="AXU11">
            <v>33.19</v>
          </cell>
          <cell r="AXV11">
            <v>33.200000000000003</v>
          </cell>
          <cell r="AXW11">
            <v>33.21</v>
          </cell>
          <cell r="AXX11">
            <v>33.22</v>
          </cell>
          <cell r="AXY11">
            <v>33.229999999999997</v>
          </cell>
          <cell r="AXZ11">
            <v>33.24</v>
          </cell>
          <cell r="AYA11">
            <v>33.25</v>
          </cell>
          <cell r="AYB11">
            <v>33.26</v>
          </cell>
          <cell r="AYC11">
            <v>33.270000000000003</v>
          </cell>
          <cell r="AYD11">
            <v>33.28</v>
          </cell>
          <cell r="AYE11">
            <v>33.29</v>
          </cell>
          <cell r="AYF11">
            <v>33.299999999999997</v>
          </cell>
          <cell r="AYG11">
            <v>33.31</v>
          </cell>
          <cell r="AYH11">
            <v>33.32</v>
          </cell>
          <cell r="AYI11">
            <v>33.33</v>
          </cell>
          <cell r="AYJ11">
            <v>33.340000000000003</v>
          </cell>
          <cell r="AYK11">
            <v>33.35</v>
          </cell>
          <cell r="AYL11">
            <v>33.36</v>
          </cell>
          <cell r="AYM11">
            <v>33.369999999999997</v>
          </cell>
          <cell r="AYN11">
            <v>33.380000000000003</v>
          </cell>
          <cell r="AYO11">
            <v>33.39</v>
          </cell>
          <cell r="AYP11">
            <v>33.4</v>
          </cell>
          <cell r="AYQ11">
            <v>33.409999999999997</v>
          </cell>
          <cell r="AYR11">
            <v>33.42</v>
          </cell>
          <cell r="AYS11">
            <v>33.43</v>
          </cell>
          <cell r="AYT11">
            <v>33.44</v>
          </cell>
          <cell r="AYU11">
            <v>33.450000000000003</v>
          </cell>
          <cell r="AYV11">
            <v>33.46</v>
          </cell>
          <cell r="AYW11">
            <v>33.47</v>
          </cell>
          <cell r="AYX11">
            <v>33.479999999999997</v>
          </cell>
          <cell r="AYY11">
            <v>33.49</v>
          </cell>
          <cell r="AYZ11">
            <v>33.5</v>
          </cell>
          <cell r="AZA11">
            <v>33.51</v>
          </cell>
          <cell r="AZB11">
            <v>33.520000000000003</v>
          </cell>
          <cell r="AZC11">
            <v>33.53</v>
          </cell>
          <cell r="AZD11">
            <v>33.54</v>
          </cell>
          <cell r="AZE11">
            <v>33.549999999999997</v>
          </cell>
          <cell r="AZF11">
            <v>33.56</v>
          </cell>
          <cell r="AZG11">
            <v>33.57</v>
          </cell>
          <cell r="AZH11">
            <v>33.58</v>
          </cell>
          <cell r="AZI11">
            <v>33.590000000000003</v>
          </cell>
          <cell r="AZJ11">
            <v>33.6</v>
          </cell>
          <cell r="AZK11">
            <v>33.61</v>
          </cell>
          <cell r="AZL11">
            <v>33.619999999999997</v>
          </cell>
          <cell r="AZM11">
            <v>33.630000000000003</v>
          </cell>
          <cell r="AZN11">
            <v>33.64</v>
          </cell>
          <cell r="AZO11">
            <v>33.65</v>
          </cell>
          <cell r="AZP11">
            <v>33.659999999999997</v>
          </cell>
          <cell r="AZQ11">
            <v>33.67</v>
          </cell>
          <cell r="AZR11">
            <v>33.68</v>
          </cell>
          <cell r="AZS11">
            <v>33.69</v>
          </cell>
          <cell r="AZT11">
            <v>33.700000000000003</v>
          </cell>
          <cell r="AZU11">
            <v>33.71</v>
          </cell>
          <cell r="AZV11">
            <v>33.72</v>
          </cell>
          <cell r="AZW11">
            <v>33.729999999999997</v>
          </cell>
          <cell r="AZX11">
            <v>33.74</v>
          </cell>
          <cell r="AZY11">
            <v>33.75</v>
          </cell>
          <cell r="AZZ11">
            <v>33.76</v>
          </cell>
          <cell r="BAA11">
            <v>33.770000000000003</v>
          </cell>
          <cell r="BAB11">
            <v>33.78</v>
          </cell>
          <cell r="BAC11">
            <v>33.79</v>
          </cell>
          <cell r="BAD11">
            <v>33.799999999999997</v>
          </cell>
          <cell r="BAE11">
            <v>33.81</v>
          </cell>
          <cell r="BAF11">
            <v>33.82</v>
          </cell>
          <cell r="BAG11">
            <v>33.83</v>
          </cell>
          <cell r="BAH11">
            <v>33.840000000000003</v>
          </cell>
          <cell r="BAI11">
            <v>33.85</v>
          </cell>
          <cell r="BAJ11">
            <v>33.86</v>
          </cell>
          <cell r="BAK11">
            <v>33.869999999999997</v>
          </cell>
          <cell r="BAL11">
            <v>33.880000000000003</v>
          </cell>
          <cell r="BAM11">
            <v>33.89</v>
          </cell>
          <cell r="BAN11">
            <v>33.9</v>
          </cell>
          <cell r="BAO11">
            <v>33.909999999999997</v>
          </cell>
          <cell r="BAP11">
            <v>33.92</v>
          </cell>
          <cell r="BAQ11">
            <v>33.93</v>
          </cell>
          <cell r="BAR11">
            <v>33.94</v>
          </cell>
          <cell r="BAS11">
            <v>33.950000000000003</v>
          </cell>
          <cell r="BAT11">
            <v>33.96</v>
          </cell>
          <cell r="BAU11">
            <v>33.97</v>
          </cell>
          <cell r="BAV11">
            <v>33.979999999999997</v>
          </cell>
          <cell r="BAW11">
            <v>33.99</v>
          </cell>
          <cell r="BAX11">
            <v>34</v>
          </cell>
          <cell r="BAY11">
            <v>34.01</v>
          </cell>
          <cell r="BAZ11">
            <v>34.020000000000003</v>
          </cell>
          <cell r="BBA11">
            <v>34.03</v>
          </cell>
          <cell r="BBB11">
            <v>34.04</v>
          </cell>
          <cell r="BBC11">
            <v>34.049999999999997</v>
          </cell>
          <cell r="BBD11">
            <v>34.06</v>
          </cell>
          <cell r="BBE11">
            <v>34.07</v>
          </cell>
          <cell r="BBF11">
            <v>34.08</v>
          </cell>
          <cell r="BBG11">
            <v>34.090000000000003</v>
          </cell>
          <cell r="BBH11">
            <v>34.1</v>
          </cell>
          <cell r="BBI11">
            <v>34.11</v>
          </cell>
          <cell r="BBJ11">
            <v>34.119999999999997</v>
          </cell>
          <cell r="BBK11">
            <v>34.130000000000003</v>
          </cell>
          <cell r="BBL11">
            <v>34.14</v>
          </cell>
          <cell r="BBM11">
            <v>34.15</v>
          </cell>
          <cell r="BBN11">
            <v>34.159999999999997</v>
          </cell>
          <cell r="BBO11">
            <v>34.17</v>
          </cell>
          <cell r="BBP11">
            <v>34.18</v>
          </cell>
          <cell r="BBQ11">
            <v>34.19</v>
          </cell>
          <cell r="BBR11">
            <v>34.200000000000003</v>
          </cell>
          <cell r="BBS11">
            <v>34.21</v>
          </cell>
          <cell r="BBT11">
            <v>34.22</v>
          </cell>
          <cell r="BBU11">
            <v>34.229999999999997</v>
          </cell>
          <cell r="BBV11">
            <v>34.24</v>
          </cell>
          <cell r="BBW11">
            <v>34.25</v>
          </cell>
          <cell r="BBX11">
            <v>34.26</v>
          </cell>
          <cell r="BBY11">
            <v>34.270000000000003</v>
          </cell>
          <cell r="BBZ11">
            <v>34.28</v>
          </cell>
          <cell r="BCA11">
            <v>34.29</v>
          </cell>
          <cell r="BCB11">
            <v>34.299999999999997</v>
          </cell>
          <cell r="BCC11">
            <v>34.31</v>
          </cell>
          <cell r="BCD11">
            <v>34.32</v>
          </cell>
          <cell r="BCE11">
            <v>34.33</v>
          </cell>
          <cell r="BCF11">
            <v>34.340000000000003</v>
          </cell>
          <cell r="BCG11">
            <v>34.35</v>
          </cell>
          <cell r="BCH11">
            <v>34.36</v>
          </cell>
          <cell r="BCI11">
            <v>34.369999999999997</v>
          </cell>
          <cell r="BCJ11">
            <v>34.380000000000003</v>
          </cell>
          <cell r="BCK11">
            <v>34.39</v>
          </cell>
          <cell r="BCL11">
            <v>34.4</v>
          </cell>
          <cell r="BCM11">
            <v>34.409999999999997</v>
          </cell>
          <cell r="BCN11">
            <v>34.42</v>
          </cell>
          <cell r="BCO11">
            <v>34.43</v>
          </cell>
          <cell r="BCP11">
            <v>34.44</v>
          </cell>
          <cell r="BCQ11">
            <v>34.450000000000003</v>
          </cell>
          <cell r="BCR11">
            <v>34.46</v>
          </cell>
          <cell r="BCS11">
            <v>34.47</v>
          </cell>
          <cell r="BCT11">
            <v>34.479999999999997</v>
          </cell>
          <cell r="BCU11">
            <v>34.49</v>
          </cell>
          <cell r="BCV11">
            <v>34.5</v>
          </cell>
          <cell r="BCW11">
            <v>34.51</v>
          </cell>
          <cell r="BCX11">
            <v>34.520000000000003</v>
          </cell>
          <cell r="BCY11">
            <v>34.53</v>
          </cell>
          <cell r="BCZ11">
            <v>34.54</v>
          </cell>
          <cell r="BDA11">
            <v>34.549999999999997</v>
          </cell>
          <cell r="BDB11">
            <v>34.56</v>
          </cell>
          <cell r="BDC11">
            <v>34.57</v>
          </cell>
          <cell r="BDD11">
            <v>34.58</v>
          </cell>
          <cell r="BDE11">
            <v>34.590000000000003</v>
          </cell>
          <cell r="BDF11">
            <v>34.6</v>
          </cell>
          <cell r="BDG11">
            <v>34.61</v>
          </cell>
          <cell r="BDH11">
            <v>34.619999999999997</v>
          </cell>
          <cell r="BDI11">
            <v>34.630000000000003</v>
          </cell>
          <cell r="BDJ11">
            <v>34.64</v>
          </cell>
          <cell r="BDK11">
            <v>34.65</v>
          </cell>
          <cell r="BDL11">
            <v>34.659999999999997</v>
          </cell>
          <cell r="BDM11">
            <v>34.67</v>
          </cell>
          <cell r="BDN11">
            <v>34.68</v>
          </cell>
          <cell r="BDO11">
            <v>34.69</v>
          </cell>
          <cell r="BDP11">
            <v>34.700000000000003</v>
          </cell>
          <cell r="BDQ11">
            <v>34.71</v>
          </cell>
          <cell r="BDR11">
            <v>34.72</v>
          </cell>
          <cell r="BDS11">
            <v>34.729999999999997</v>
          </cell>
          <cell r="BDT11">
            <v>34.74</v>
          </cell>
          <cell r="BDU11">
            <v>34.75</v>
          </cell>
          <cell r="BDV11">
            <v>34.76</v>
          </cell>
          <cell r="BDW11">
            <v>34.770000000000003</v>
          </cell>
          <cell r="BDX11">
            <v>34.78</v>
          </cell>
          <cell r="BDY11">
            <v>34.79</v>
          </cell>
          <cell r="BDZ11">
            <v>34.799999999999997</v>
          </cell>
          <cell r="BEA11">
            <v>34.81</v>
          </cell>
          <cell r="BEB11">
            <v>34.82</v>
          </cell>
          <cell r="BEC11">
            <v>34.83</v>
          </cell>
          <cell r="BED11">
            <v>34.840000000000003</v>
          </cell>
          <cell r="BEE11">
            <v>34.85</v>
          </cell>
          <cell r="BEF11">
            <v>34.86</v>
          </cell>
          <cell r="BEG11">
            <v>34.869999999999997</v>
          </cell>
          <cell r="BEH11">
            <v>34.880000000000003</v>
          </cell>
          <cell r="BEI11">
            <v>34.89</v>
          </cell>
          <cell r="BEJ11">
            <v>34.9</v>
          </cell>
          <cell r="BEK11">
            <v>34.909999999999997</v>
          </cell>
          <cell r="BEL11">
            <v>34.92</v>
          </cell>
          <cell r="BEM11">
            <v>34.93</v>
          </cell>
          <cell r="BEN11">
            <v>34.94</v>
          </cell>
          <cell r="BEO11">
            <v>34.950000000000003</v>
          </cell>
          <cell r="BEP11">
            <v>34.96</v>
          </cell>
          <cell r="BEQ11">
            <v>34.97</v>
          </cell>
          <cell r="BER11">
            <v>34.979999999999997</v>
          </cell>
          <cell r="BES11">
            <v>34.99</v>
          </cell>
          <cell r="BET11">
            <v>35</v>
          </cell>
          <cell r="BEU11">
            <v>35.01</v>
          </cell>
          <cell r="BEV11">
            <v>35.020000000000003</v>
          </cell>
          <cell r="BEW11">
            <v>35.03</v>
          </cell>
          <cell r="BEX11">
            <v>35.04</v>
          </cell>
          <cell r="BEY11">
            <v>35.049999999999997</v>
          </cell>
          <cell r="BEZ11">
            <v>35.06</v>
          </cell>
          <cell r="BFA11">
            <v>35.07</v>
          </cell>
          <cell r="BFB11">
            <v>35.08</v>
          </cell>
          <cell r="BFC11">
            <v>35.090000000000003</v>
          </cell>
          <cell r="BFD11">
            <v>35.1</v>
          </cell>
          <cell r="BFE11">
            <v>35.11</v>
          </cell>
          <cell r="BFF11">
            <v>35.119999999999997</v>
          </cell>
          <cell r="BFG11">
            <v>35.130000000000003</v>
          </cell>
          <cell r="BFH11">
            <v>35.14</v>
          </cell>
          <cell r="BFI11">
            <v>35.15</v>
          </cell>
          <cell r="BFJ11">
            <v>35.159999999999997</v>
          </cell>
          <cell r="BFK11">
            <v>35.17</v>
          </cell>
          <cell r="BFL11">
            <v>35.18</v>
          </cell>
          <cell r="BFM11">
            <v>35.19</v>
          </cell>
          <cell r="BFN11">
            <v>35.200000000000003</v>
          </cell>
          <cell r="BFO11">
            <v>35.21</v>
          </cell>
          <cell r="BFP11">
            <v>35.22</v>
          </cell>
          <cell r="BFQ11">
            <v>35.229999999999997</v>
          </cell>
          <cell r="BFR11">
            <v>35.24</v>
          </cell>
          <cell r="BFS11">
            <v>35.25</v>
          </cell>
          <cell r="BFT11">
            <v>35.26</v>
          </cell>
          <cell r="BFU11">
            <v>35.270000000000003</v>
          </cell>
          <cell r="BFV11">
            <v>35.28</v>
          </cell>
          <cell r="BFW11">
            <v>35.29</v>
          </cell>
          <cell r="BFX11">
            <v>35.299999999999997</v>
          </cell>
          <cell r="BFY11">
            <v>35.31</v>
          </cell>
          <cell r="BFZ11">
            <v>35.32</v>
          </cell>
          <cell r="BGA11">
            <v>35.33</v>
          </cell>
          <cell r="BGB11">
            <v>35.340000000000003</v>
          </cell>
          <cell r="BGC11">
            <v>35.35</v>
          </cell>
          <cell r="BGD11">
            <v>35.36</v>
          </cell>
          <cell r="BGE11">
            <v>35.369999999999997</v>
          </cell>
          <cell r="BGF11">
            <v>35.380000000000003</v>
          </cell>
          <cell r="BGG11">
            <v>35.39</v>
          </cell>
          <cell r="BGH11">
            <v>35.4</v>
          </cell>
          <cell r="BGI11">
            <v>35.409999999999997</v>
          </cell>
          <cell r="BGJ11">
            <v>35.42</v>
          </cell>
          <cell r="BGK11">
            <v>35.43</v>
          </cell>
          <cell r="BGL11">
            <v>35.44</v>
          </cell>
          <cell r="BGM11">
            <v>35.450000000000003</v>
          </cell>
          <cell r="BGN11">
            <v>35.46</v>
          </cell>
          <cell r="BGO11">
            <v>35.47</v>
          </cell>
          <cell r="BGP11">
            <v>35.479999999999997</v>
          </cell>
          <cell r="BGQ11">
            <v>35.49</v>
          </cell>
          <cell r="BGR11">
            <v>35.5</v>
          </cell>
          <cell r="BGS11">
            <v>35.51</v>
          </cell>
          <cell r="BGT11">
            <v>35.520000000000003</v>
          </cell>
          <cell r="BGU11">
            <v>35.53</v>
          </cell>
          <cell r="BGV11">
            <v>35.54</v>
          </cell>
          <cell r="BGW11">
            <v>35.549999999999997</v>
          </cell>
          <cell r="BGX11">
            <v>35.56</v>
          </cell>
          <cell r="BGY11">
            <v>35.57</v>
          </cell>
          <cell r="BGZ11">
            <v>35.58</v>
          </cell>
          <cell r="BHA11">
            <v>35.590000000000003</v>
          </cell>
          <cell r="BHB11">
            <v>35.6</v>
          </cell>
          <cell r="BHC11">
            <v>35.61</v>
          </cell>
          <cell r="BHD11">
            <v>35.619999999999997</v>
          </cell>
          <cell r="BHE11">
            <v>35.630000000000003</v>
          </cell>
          <cell r="BHF11">
            <v>35.64</v>
          </cell>
          <cell r="BHG11">
            <v>35.65</v>
          </cell>
          <cell r="BHH11">
            <v>35.659999999999997</v>
          </cell>
          <cell r="BHI11">
            <v>35.67</v>
          </cell>
          <cell r="BHJ11">
            <v>35.68</v>
          </cell>
          <cell r="BHK11">
            <v>35.69</v>
          </cell>
          <cell r="BHL11">
            <v>35.700000000000003</v>
          </cell>
          <cell r="BHM11">
            <v>35.71</v>
          </cell>
          <cell r="BHN11">
            <v>35.72</v>
          </cell>
          <cell r="BHO11">
            <v>35.729999999999997</v>
          </cell>
          <cell r="BHP11">
            <v>35.74</v>
          </cell>
          <cell r="BHQ11">
            <v>35.75</v>
          </cell>
          <cell r="BHR11">
            <v>35.76</v>
          </cell>
          <cell r="BHS11">
            <v>35.770000000000003</v>
          </cell>
          <cell r="BHT11">
            <v>35.78</v>
          </cell>
          <cell r="BHU11">
            <v>35.79</v>
          </cell>
          <cell r="BHV11">
            <v>35.799999999999997</v>
          </cell>
          <cell r="BHW11">
            <v>35.81</v>
          </cell>
          <cell r="BHX11">
            <v>35.82</v>
          </cell>
          <cell r="BHY11">
            <v>35.83</v>
          </cell>
          <cell r="BHZ11">
            <v>35.840000000000003</v>
          </cell>
          <cell r="BIA11">
            <v>35.85</v>
          </cell>
          <cell r="BIB11">
            <v>35.86</v>
          </cell>
          <cell r="BIC11">
            <v>35.869999999999997</v>
          </cell>
          <cell r="BID11">
            <v>35.880000000000003</v>
          </cell>
          <cell r="BIE11">
            <v>35.89</v>
          </cell>
          <cell r="BIF11">
            <v>35.9</v>
          </cell>
          <cell r="BIG11">
            <v>35.909999999999997</v>
          </cell>
          <cell r="BIH11">
            <v>35.92</v>
          </cell>
          <cell r="BII11">
            <v>35.93</v>
          </cell>
          <cell r="BIJ11">
            <v>35.94</v>
          </cell>
          <cell r="BIK11">
            <v>35.950000000000003</v>
          </cell>
          <cell r="BIL11">
            <v>35.96</v>
          </cell>
          <cell r="BIM11">
            <v>35.97</v>
          </cell>
          <cell r="BIN11">
            <v>35.979999999999997</v>
          </cell>
          <cell r="BIO11">
            <v>35.99</v>
          </cell>
          <cell r="BIP11">
            <v>36</v>
          </cell>
          <cell r="BIQ11">
            <v>36.01</v>
          </cell>
          <cell r="BIR11">
            <v>36.020000000000003</v>
          </cell>
          <cell r="BIS11">
            <v>36.03</v>
          </cell>
          <cell r="BIT11">
            <v>36.04</v>
          </cell>
          <cell r="BIU11">
            <v>36.049999999999997</v>
          </cell>
          <cell r="BIV11">
            <v>36.06</v>
          </cell>
          <cell r="BIW11">
            <v>36.07</v>
          </cell>
          <cell r="BIX11">
            <v>36.08</v>
          </cell>
          <cell r="BIY11">
            <v>36.090000000000003</v>
          </cell>
          <cell r="BIZ11">
            <v>36.1</v>
          </cell>
          <cell r="BJA11">
            <v>36.11</v>
          </cell>
          <cell r="BJB11">
            <v>36.119999999999997</v>
          </cell>
          <cell r="BJC11">
            <v>36.130000000000003</v>
          </cell>
          <cell r="BJD11">
            <v>36.14</v>
          </cell>
          <cell r="BJE11">
            <v>36.15</v>
          </cell>
          <cell r="BJF11">
            <v>36.159999999999997</v>
          </cell>
          <cell r="BJG11">
            <v>36.17</v>
          </cell>
          <cell r="BJH11">
            <v>36.18</v>
          </cell>
          <cell r="BJI11">
            <v>36.19</v>
          </cell>
          <cell r="BJJ11">
            <v>36.200000000000003</v>
          </cell>
          <cell r="BJK11">
            <v>36.21</v>
          </cell>
          <cell r="BJL11">
            <v>36.22</v>
          </cell>
          <cell r="BJM11">
            <v>36.229999999999997</v>
          </cell>
          <cell r="BJN11">
            <v>36.24</v>
          </cell>
          <cell r="BJO11">
            <v>36.25</v>
          </cell>
          <cell r="BJP11">
            <v>36.26</v>
          </cell>
          <cell r="BJQ11">
            <v>36.270000000000003</v>
          </cell>
          <cell r="BJR11">
            <v>36.28</v>
          </cell>
          <cell r="BJS11">
            <v>36.29</v>
          </cell>
          <cell r="BJT11">
            <v>36.299999999999997</v>
          </cell>
          <cell r="BJU11">
            <v>36.31</v>
          </cell>
          <cell r="BJV11">
            <v>36.32</v>
          </cell>
          <cell r="BJW11">
            <v>36.33</v>
          </cell>
          <cell r="BJX11">
            <v>36.340000000000003</v>
          </cell>
          <cell r="BJY11">
            <v>36.35</v>
          </cell>
          <cell r="BJZ11">
            <v>36.36</v>
          </cell>
          <cell r="BKA11">
            <v>36.369999999999997</v>
          </cell>
          <cell r="BKB11">
            <v>36.380000000000003</v>
          </cell>
          <cell r="BKC11">
            <v>36.39</v>
          </cell>
          <cell r="BKD11">
            <v>36.4</v>
          </cell>
          <cell r="BKE11">
            <v>36.409999999999997</v>
          </cell>
          <cell r="BKF11">
            <v>36.42</v>
          </cell>
          <cell r="BKG11">
            <v>36.43</v>
          </cell>
          <cell r="BKH11">
            <v>36.44</v>
          </cell>
          <cell r="BKI11">
            <v>36.450000000000003</v>
          </cell>
          <cell r="BKJ11">
            <v>36.46</v>
          </cell>
          <cell r="BKK11">
            <v>36.47</v>
          </cell>
          <cell r="BKL11">
            <v>36.479999999999997</v>
          </cell>
          <cell r="BKM11">
            <v>36.49</v>
          </cell>
          <cell r="BKN11">
            <v>36.5</v>
          </cell>
          <cell r="BKO11">
            <v>36.51</v>
          </cell>
          <cell r="BKP11">
            <v>36.520000000000003</v>
          </cell>
          <cell r="BKQ11">
            <v>36.53</v>
          </cell>
          <cell r="BKR11">
            <v>36.54</v>
          </cell>
          <cell r="BKS11">
            <v>36.549999999999997</v>
          </cell>
          <cell r="BKT11">
            <v>36.56</v>
          </cell>
          <cell r="BKU11">
            <v>36.57</v>
          </cell>
          <cell r="BKV11">
            <v>36.58</v>
          </cell>
          <cell r="BKW11">
            <v>36.590000000000003</v>
          </cell>
          <cell r="BKX11">
            <v>36.6</v>
          </cell>
          <cell r="BKY11">
            <v>36.61</v>
          </cell>
          <cell r="BKZ11">
            <v>36.619999999999997</v>
          </cell>
          <cell r="BLA11">
            <v>36.630000000000003</v>
          </cell>
          <cell r="BLB11">
            <v>36.64</v>
          </cell>
          <cell r="BLC11">
            <v>36.65</v>
          </cell>
          <cell r="BLD11">
            <v>36.659999999999997</v>
          </cell>
          <cell r="BLE11">
            <v>36.67</v>
          </cell>
          <cell r="BLF11">
            <v>36.68</v>
          </cell>
          <cell r="BLG11">
            <v>36.69</v>
          </cell>
          <cell r="BLH11">
            <v>36.700000000000003</v>
          </cell>
          <cell r="BLI11">
            <v>36.71</v>
          </cell>
          <cell r="BLJ11">
            <v>36.72</v>
          </cell>
          <cell r="BLK11">
            <v>36.729999999999997</v>
          </cell>
          <cell r="BLL11">
            <v>36.74</v>
          </cell>
          <cell r="BLM11">
            <v>36.75</v>
          </cell>
          <cell r="BLN11">
            <v>36.76</v>
          </cell>
          <cell r="BLO11">
            <v>36.770000000000003</v>
          </cell>
          <cell r="BLP11">
            <v>36.78</v>
          </cell>
          <cell r="BLQ11">
            <v>36.79</v>
          </cell>
          <cell r="BLR11">
            <v>36.799999999999997</v>
          </cell>
          <cell r="BLS11">
            <v>36.81</v>
          </cell>
          <cell r="BLT11">
            <v>36.82</v>
          </cell>
          <cell r="BLU11">
            <v>36.83</v>
          </cell>
          <cell r="BLV11">
            <v>36.840000000000003</v>
          </cell>
          <cell r="BLW11">
            <v>36.85</v>
          </cell>
          <cell r="BLX11">
            <v>36.86</v>
          </cell>
          <cell r="BLY11">
            <v>36.869999999999997</v>
          </cell>
          <cell r="BLZ11">
            <v>36.880000000000003</v>
          </cell>
          <cell r="BMA11">
            <v>36.89</v>
          </cell>
          <cell r="BMB11">
            <v>36.9</v>
          </cell>
          <cell r="BMC11">
            <v>36.909999999999997</v>
          </cell>
          <cell r="BMD11">
            <v>36.92</v>
          </cell>
          <cell r="BME11">
            <v>36.93</v>
          </cell>
          <cell r="BMF11">
            <v>36.94</v>
          </cell>
          <cell r="BMG11">
            <v>36.950000000000003</v>
          </cell>
          <cell r="BMH11">
            <v>36.96</v>
          </cell>
          <cell r="BMI11">
            <v>36.97</v>
          </cell>
          <cell r="BMJ11">
            <v>36.979999999999997</v>
          </cell>
          <cell r="BMK11">
            <v>36.99</v>
          </cell>
          <cell r="BML11">
            <v>37</v>
          </cell>
          <cell r="BMM11">
            <v>37.01</v>
          </cell>
          <cell r="BMN11">
            <v>37.020000000000003</v>
          </cell>
          <cell r="BMO11">
            <v>37.03</v>
          </cell>
          <cell r="BMP11">
            <v>37.04</v>
          </cell>
          <cell r="BMQ11">
            <v>37.049999999999997</v>
          </cell>
          <cell r="BMR11">
            <v>37.06</v>
          </cell>
          <cell r="BMS11">
            <v>37.07</v>
          </cell>
          <cell r="BMT11">
            <v>37.08</v>
          </cell>
          <cell r="BMU11">
            <v>37.090000000000003</v>
          </cell>
          <cell r="BMV11">
            <v>37.1</v>
          </cell>
          <cell r="BMW11">
            <v>37.11</v>
          </cell>
          <cell r="BMX11">
            <v>37.119999999999997</v>
          </cell>
          <cell r="BMY11">
            <v>37.130000000000003</v>
          </cell>
          <cell r="BMZ11">
            <v>37.14</v>
          </cell>
          <cell r="BNA11">
            <v>37.15</v>
          </cell>
          <cell r="BNB11">
            <v>37.159999999999997</v>
          </cell>
          <cell r="BNC11">
            <v>37.17</v>
          </cell>
          <cell r="BND11">
            <v>37.18</v>
          </cell>
          <cell r="BNE11">
            <v>37.19</v>
          </cell>
          <cell r="BNF11">
            <v>37.200000000000003</v>
          </cell>
          <cell r="BNG11">
            <v>37.21</v>
          </cell>
          <cell r="BNH11">
            <v>37.22</v>
          </cell>
          <cell r="BNI11">
            <v>37.229999999999997</v>
          </cell>
          <cell r="BNJ11">
            <v>37.24</v>
          </cell>
          <cell r="BNK11">
            <v>37.25</v>
          </cell>
          <cell r="BNL11">
            <v>37.26</v>
          </cell>
          <cell r="BNM11">
            <v>37.270000000000003</v>
          </cell>
          <cell r="BNN11">
            <v>37.28</v>
          </cell>
          <cell r="BNO11">
            <v>37.29</v>
          </cell>
          <cell r="BNP11">
            <v>37.299999999999997</v>
          </cell>
          <cell r="BNQ11">
            <v>37.31</v>
          </cell>
          <cell r="BNR11">
            <v>37.32</v>
          </cell>
          <cell r="BNS11">
            <v>37.33</v>
          </cell>
          <cell r="BNT11">
            <v>37.340000000000003</v>
          </cell>
          <cell r="BNU11">
            <v>37.35</v>
          </cell>
          <cell r="BNV11">
            <v>37.36</v>
          </cell>
          <cell r="BNW11">
            <v>37.369999999999997</v>
          </cell>
          <cell r="BNX11">
            <v>37.380000000000003</v>
          </cell>
          <cell r="BNY11">
            <v>37.39</v>
          </cell>
          <cell r="BNZ11">
            <v>37.4</v>
          </cell>
          <cell r="BOA11">
            <v>37.409999999999997</v>
          </cell>
          <cell r="BOB11">
            <v>37.42</v>
          </cell>
          <cell r="BOC11">
            <v>37.43</v>
          </cell>
          <cell r="BOD11">
            <v>37.44</v>
          </cell>
          <cell r="BOE11">
            <v>37.450000000000003</v>
          </cell>
          <cell r="BOF11">
            <v>37.46</v>
          </cell>
          <cell r="BOG11">
            <v>37.47</v>
          </cell>
          <cell r="BOH11">
            <v>37.479999999999997</v>
          </cell>
          <cell r="BOI11">
            <v>37.49</v>
          </cell>
          <cell r="BOJ11">
            <v>37.5</v>
          </cell>
          <cell r="BOK11">
            <v>37.51</v>
          </cell>
          <cell r="BOL11">
            <v>37.520000000000003</v>
          </cell>
          <cell r="BOM11">
            <v>37.53</v>
          </cell>
          <cell r="BON11">
            <v>37.54</v>
          </cell>
          <cell r="BOO11">
            <v>37.549999999999997</v>
          </cell>
          <cell r="BOP11">
            <v>37.56</v>
          </cell>
          <cell r="BOQ11">
            <v>37.57</v>
          </cell>
          <cell r="BOR11">
            <v>37.58</v>
          </cell>
          <cell r="BOS11">
            <v>37.590000000000003</v>
          </cell>
          <cell r="BOT11">
            <v>37.6</v>
          </cell>
          <cell r="BOU11">
            <v>37.61</v>
          </cell>
          <cell r="BOV11">
            <v>37.619999999999997</v>
          </cell>
          <cell r="BOW11">
            <v>37.630000000000003</v>
          </cell>
          <cell r="BOX11">
            <v>37.64</v>
          </cell>
          <cell r="BOY11">
            <v>37.65</v>
          </cell>
          <cell r="BOZ11">
            <v>37.659999999999997</v>
          </cell>
          <cell r="BPA11">
            <v>37.67</v>
          </cell>
          <cell r="BPB11">
            <v>37.68</v>
          </cell>
          <cell r="BPC11">
            <v>37.69</v>
          </cell>
          <cell r="BPD11">
            <v>37.700000000000003</v>
          </cell>
          <cell r="BPE11">
            <v>37.71</v>
          </cell>
          <cell r="BPF11">
            <v>37.72</v>
          </cell>
          <cell r="BPG11">
            <v>37.729999999999997</v>
          </cell>
          <cell r="BPH11">
            <v>37.74</v>
          </cell>
          <cell r="BPI11">
            <v>37.75</v>
          </cell>
          <cell r="BPJ11">
            <v>37.76</v>
          </cell>
          <cell r="BPK11">
            <v>37.770000000000003</v>
          </cell>
          <cell r="BPL11">
            <v>37.78</v>
          </cell>
          <cell r="BPM11">
            <v>37.79</v>
          </cell>
          <cell r="BPN11">
            <v>37.799999999999997</v>
          </cell>
          <cell r="BPO11">
            <v>37.81</v>
          </cell>
          <cell r="BPP11">
            <v>37.82</v>
          </cell>
          <cell r="BPQ11">
            <v>37.83</v>
          </cell>
          <cell r="BPR11">
            <v>37.840000000000003</v>
          </cell>
          <cell r="BPS11">
            <v>37.85</v>
          </cell>
          <cell r="BPT11">
            <v>37.86</v>
          </cell>
          <cell r="BPU11">
            <v>37.869999999999997</v>
          </cell>
          <cell r="BPV11">
            <v>37.880000000000003</v>
          </cell>
          <cell r="BPW11">
            <v>37.89</v>
          </cell>
          <cell r="BPX11">
            <v>37.9</v>
          </cell>
          <cell r="BPY11">
            <v>37.909999999999997</v>
          </cell>
          <cell r="BPZ11">
            <v>37.92</v>
          </cell>
          <cell r="BQA11">
            <v>37.93</v>
          </cell>
          <cell r="BQB11">
            <v>37.94</v>
          </cell>
          <cell r="BQC11">
            <v>37.950000000000003</v>
          </cell>
          <cell r="BQD11">
            <v>37.96</v>
          </cell>
          <cell r="BQE11">
            <v>37.97</v>
          </cell>
          <cell r="BQF11">
            <v>37.979999999999997</v>
          </cell>
          <cell r="BQG11">
            <v>37.99</v>
          </cell>
          <cell r="BQH11">
            <v>38</v>
          </cell>
          <cell r="BQI11">
            <v>38.01</v>
          </cell>
          <cell r="BQJ11">
            <v>38.020000000000003</v>
          </cell>
          <cell r="BQK11">
            <v>38.03</v>
          </cell>
          <cell r="BQL11">
            <v>38.04</v>
          </cell>
          <cell r="BQM11">
            <v>38.049999999999997</v>
          </cell>
          <cell r="BQN11">
            <v>38.06</v>
          </cell>
          <cell r="BQO11">
            <v>38.07</v>
          </cell>
          <cell r="BQP11">
            <v>38.08</v>
          </cell>
          <cell r="BQQ11">
            <v>38.090000000000003</v>
          </cell>
          <cell r="BQR11">
            <v>38.1</v>
          </cell>
          <cell r="BQS11">
            <v>38.11</v>
          </cell>
          <cell r="BQT11">
            <v>38.119999999999997</v>
          </cell>
          <cell r="BQU11">
            <v>38.130000000000003</v>
          </cell>
          <cell r="BQV11">
            <v>38.14</v>
          </cell>
          <cell r="BQW11">
            <v>38.15</v>
          </cell>
          <cell r="BQX11">
            <v>38.159999999999997</v>
          </cell>
          <cell r="BQY11">
            <v>38.17</v>
          </cell>
          <cell r="BQZ11">
            <v>38.18</v>
          </cell>
          <cell r="BRA11">
            <v>38.19</v>
          </cell>
          <cell r="BRB11">
            <v>38.200000000000003</v>
          </cell>
          <cell r="BRC11">
            <v>38.21</v>
          </cell>
          <cell r="BRD11">
            <v>38.22</v>
          </cell>
          <cell r="BRE11">
            <v>38.229999999999997</v>
          </cell>
          <cell r="BRF11">
            <v>38.24</v>
          </cell>
          <cell r="BRG11">
            <v>38.25</v>
          </cell>
          <cell r="BRH11">
            <v>38.26</v>
          </cell>
          <cell r="BRI11">
            <v>38.270000000000003</v>
          </cell>
          <cell r="BRJ11">
            <v>38.28</v>
          </cell>
          <cell r="BRK11">
            <v>38.29</v>
          </cell>
          <cell r="BRL11">
            <v>38.299999999999997</v>
          </cell>
          <cell r="BRM11">
            <v>38.31</v>
          </cell>
          <cell r="BRN11">
            <v>38.32</v>
          </cell>
          <cell r="BRO11">
            <v>38.33</v>
          </cell>
          <cell r="BRP11">
            <v>38.340000000000003</v>
          </cell>
          <cell r="BRQ11">
            <v>38.35</v>
          </cell>
          <cell r="BRR11">
            <v>38.36</v>
          </cell>
          <cell r="BRS11">
            <v>38.369999999999997</v>
          </cell>
          <cell r="BRT11">
            <v>38.380000000000003</v>
          </cell>
          <cell r="BRU11">
            <v>38.39</v>
          </cell>
          <cell r="BRV11">
            <v>38.4</v>
          </cell>
          <cell r="BRW11">
            <v>38.409999999999997</v>
          </cell>
          <cell r="BRX11">
            <v>38.42</v>
          </cell>
          <cell r="BRY11">
            <v>38.43</v>
          </cell>
          <cell r="BRZ11">
            <v>38.44</v>
          </cell>
          <cell r="BSA11">
            <v>38.450000000000003</v>
          </cell>
          <cell r="BSB11">
            <v>38.46</v>
          </cell>
          <cell r="BSC11">
            <v>38.47</v>
          </cell>
          <cell r="BSD11">
            <v>38.479999999999997</v>
          </cell>
          <cell r="BSE11">
            <v>38.49</v>
          </cell>
          <cell r="BSF11">
            <v>38.5</v>
          </cell>
          <cell r="BSG11">
            <v>38.51</v>
          </cell>
          <cell r="BSH11">
            <v>38.520000000000003</v>
          </cell>
          <cell r="BSI11">
            <v>38.53</v>
          </cell>
          <cell r="BSJ11">
            <v>38.54</v>
          </cell>
          <cell r="BSK11">
            <v>38.549999999999997</v>
          </cell>
          <cell r="BSL11">
            <v>38.56</v>
          </cell>
          <cell r="BSM11">
            <v>38.57</v>
          </cell>
          <cell r="BSN11">
            <v>38.58</v>
          </cell>
          <cell r="BSO11">
            <v>38.590000000000003</v>
          </cell>
          <cell r="BSP11">
            <v>38.6</v>
          </cell>
          <cell r="BSQ11">
            <v>38.61</v>
          </cell>
          <cell r="BSR11">
            <v>38.619999999999997</v>
          </cell>
          <cell r="BSS11">
            <v>38.630000000000003</v>
          </cell>
          <cell r="BST11">
            <v>38.64</v>
          </cell>
          <cell r="BSU11">
            <v>38.65</v>
          </cell>
          <cell r="BSV11">
            <v>38.659999999999997</v>
          </cell>
          <cell r="BSW11">
            <v>38.67</v>
          </cell>
          <cell r="BSX11">
            <v>38.68</v>
          </cell>
          <cell r="BSY11">
            <v>38.69</v>
          </cell>
          <cell r="BSZ11">
            <v>38.700000000000003</v>
          </cell>
          <cell r="BTA11">
            <v>38.71</v>
          </cell>
          <cell r="BTB11">
            <v>38.72</v>
          </cell>
          <cell r="BTC11">
            <v>38.729999999999997</v>
          </cell>
          <cell r="BTD11">
            <v>38.74</v>
          </cell>
          <cell r="BTE11">
            <v>38.75</v>
          </cell>
          <cell r="BTF11">
            <v>38.76</v>
          </cell>
          <cell r="BTG11">
            <v>38.770000000000003</v>
          </cell>
          <cell r="BTH11">
            <v>38.78</v>
          </cell>
          <cell r="BTI11">
            <v>38.79</v>
          </cell>
          <cell r="BTJ11">
            <v>38.799999999999997</v>
          </cell>
          <cell r="BTK11">
            <v>38.81</v>
          </cell>
          <cell r="BTL11">
            <v>38.82</v>
          </cell>
          <cell r="BTM11">
            <v>38.83</v>
          </cell>
          <cell r="BTN11">
            <v>38.840000000000003</v>
          </cell>
          <cell r="BTO11">
            <v>38.85</v>
          </cell>
          <cell r="BTP11">
            <v>38.86</v>
          </cell>
          <cell r="BTQ11">
            <v>38.869999999999997</v>
          </cell>
          <cell r="BTR11">
            <v>38.880000000000003</v>
          </cell>
          <cell r="BTS11">
            <v>38.89</v>
          </cell>
          <cell r="BTT11">
            <v>38.9</v>
          </cell>
          <cell r="BTU11">
            <v>38.909999999999997</v>
          </cell>
          <cell r="BTV11">
            <v>38.92</v>
          </cell>
          <cell r="BTW11">
            <v>38.93</v>
          </cell>
          <cell r="BTX11">
            <v>38.94</v>
          </cell>
          <cell r="BTY11">
            <v>38.950000000000003</v>
          </cell>
          <cell r="BTZ11">
            <v>38.96</v>
          </cell>
          <cell r="BUA11">
            <v>38.97</v>
          </cell>
          <cell r="BUB11">
            <v>38.979999999999997</v>
          </cell>
          <cell r="BUC11">
            <v>38.99</v>
          </cell>
          <cell r="BUD11">
            <v>39</v>
          </cell>
          <cell r="BUE11">
            <v>39.01</v>
          </cell>
          <cell r="BUF11">
            <v>39.020000000000003</v>
          </cell>
          <cell r="BUG11">
            <v>39.03</v>
          </cell>
          <cell r="BUH11">
            <v>39.04</v>
          </cell>
          <cell r="BUI11">
            <v>39.049999999999997</v>
          </cell>
          <cell r="BUJ11">
            <v>39.06</v>
          </cell>
          <cell r="BUK11">
            <v>39.07</v>
          </cell>
          <cell r="BUL11">
            <v>39.08</v>
          </cell>
          <cell r="BUM11">
            <v>39.090000000000003</v>
          </cell>
          <cell r="BUN11">
            <v>39.1</v>
          </cell>
          <cell r="BUO11">
            <v>39.11</v>
          </cell>
          <cell r="BUP11">
            <v>39.119999999999997</v>
          </cell>
          <cell r="BUQ11">
            <v>39.130000000000003</v>
          </cell>
          <cell r="BUR11">
            <v>39.14</v>
          </cell>
          <cell r="BUS11">
            <v>39.15</v>
          </cell>
          <cell r="BUT11">
            <v>39.159999999999997</v>
          </cell>
          <cell r="BUU11">
            <v>39.17</v>
          </cell>
          <cell r="BUV11">
            <v>39.18</v>
          </cell>
          <cell r="BUW11">
            <v>39.19</v>
          </cell>
          <cell r="BUX11">
            <v>39.200000000000003</v>
          </cell>
          <cell r="BUY11">
            <v>39.21</v>
          </cell>
          <cell r="BUZ11">
            <v>39.22</v>
          </cell>
          <cell r="BVA11">
            <v>39.229999999999997</v>
          </cell>
          <cell r="BVB11">
            <v>39.24</v>
          </cell>
          <cell r="BVC11">
            <v>39.25</v>
          </cell>
          <cell r="BVD11">
            <v>39.26</v>
          </cell>
          <cell r="BVE11">
            <v>39.270000000000003</v>
          </cell>
          <cell r="BVF11">
            <v>39.28</v>
          </cell>
          <cell r="BVG11">
            <v>39.29</v>
          </cell>
          <cell r="BVH11">
            <v>39.299999999999997</v>
          </cell>
          <cell r="BVI11">
            <v>39.31</v>
          </cell>
          <cell r="BVJ11">
            <v>39.32</v>
          </cell>
          <cell r="BVK11">
            <v>39.33</v>
          </cell>
          <cell r="BVL11">
            <v>39.340000000000003</v>
          </cell>
          <cell r="BVM11">
            <v>39.35</v>
          </cell>
          <cell r="BVN11">
            <v>39.36</v>
          </cell>
          <cell r="BVO11">
            <v>39.369999999999997</v>
          </cell>
          <cell r="BVP11">
            <v>39.380000000000003</v>
          </cell>
          <cell r="BVQ11">
            <v>39.39</v>
          </cell>
          <cell r="BVR11">
            <v>39.4</v>
          </cell>
          <cell r="BVS11">
            <v>39.409999999999997</v>
          </cell>
          <cell r="BVT11">
            <v>39.42</v>
          </cell>
          <cell r="BVU11">
            <v>39.43</v>
          </cell>
          <cell r="BVV11">
            <v>39.44</v>
          </cell>
          <cell r="BVW11">
            <v>39.450000000000003</v>
          </cell>
          <cell r="BVX11">
            <v>39.46</v>
          </cell>
          <cell r="BVY11">
            <v>39.47</v>
          </cell>
          <cell r="BVZ11">
            <v>39.479999999999997</v>
          </cell>
          <cell r="BWA11">
            <v>39.49</v>
          </cell>
          <cell r="BWB11">
            <v>39.5</v>
          </cell>
          <cell r="BWC11">
            <v>39.51</v>
          </cell>
          <cell r="BWD11">
            <v>39.520000000000003</v>
          </cell>
          <cell r="BWE11">
            <v>39.53</v>
          </cell>
          <cell r="BWF11">
            <v>39.54</v>
          </cell>
          <cell r="BWG11">
            <v>39.549999999999997</v>
          </cell>
          <cell r="BWH11">
            <v>39.56</v>
          </cell>
          <cell r="BWI11">
            <v>39.57</v>
          </cell>
          <cell r="BWJ11">
            <v>39.58</v>
          </cell>
          <cell r="BWK11">
            <v>39.590000000000003</v>
          </cell>
          <cell r="BWL11">
            <v>39.6</v>
          </cell>
          <cell r="BWM11">
            <v>39.61</v>
          </cell>
          <cell r="BWN11">
            <v>39.619999999999997</v>
          </cell>
          <cell r="BWO11">
            <v>39.630000000000003</v>
          </cell>
          <cell r="BWP11">
            <v>39.64</v>
          </cell>
          <cell r="BWQ11">
            <v>39.65</v>
          </cell>
          <cell r="BWR11">
            <v>39.659999999999997</v>
          </cell>
          <cell r="BWS11">
            <v>39.67</v>
          </cell>
          <cell r="BWT11">
            <v>39.68</v>
          </cell>
          <cell r="BWU11">
            <v>39.69</v>
          </cell>
          <cell r="BWV11">
            <v>39.700000000000003</v>
          </cell>
          <cell r="BWW11">
            <v>39.71</v>
          </cell>
          <cell r="BWX11">
            <v>39.72</v>
          </cell>
          <cell r="BWY11">
            <v>39.729999999999997</v>
          </cell>
          <cell r="BWZ11">
            <v>39.74</v>
          </cell>
          <cell r="BXA11">
            <v>39.75</v>
          </cell>
          <cell r="BXB11">
            <v>39.76</v>
          </cell>
          <cell r="BXC11">
            <v>39.770000000000003</v>
          </cell>
          <cell r="BXD11">
            <v>39.78</v>
          </cell>
          <cell r="BXE11">
            <v>39.79</v>
          </cell>
          <cell r="BXF11">
            <v>39.799999999999997</v>
          </cell>
          <cell r="BXG11">
            <v>39.81</v>
          </cell>
          <cell r="BXH11">
            <v>39.82</v>
          </cell>
          <cell r="BXI11">
            <v>39.83</v>
          </cell>
          <cell r="BXJ11">
            <v>39.840000000000003</v>
          </cell>
          <cell r="BXK11">
            <v>39.85</v>
          </cell>
          <cell r="BXL11">
            <v>39.86</v>
          </cell>
          <cell r="BXM11">
            <v>39.869999999999997</v>
          </cell>
          <cell r="BXN11">
            <v>39.880000000000003</v>
          </cell>
          <cell r="BXO11">
            <v>39.89</v>
          </cell>
          <cell r="BXP11">
            <v>39.9</v>
          </cell>
          <cell r="BXQ11">
            <v>39.909999999999997</v>
          </cell>
          <cell r="BXR11">
            <v>39.92</v>
          </cell>
          <cell r="BXS11">
            <v>39.93</v>
          </cell>
          <cell r="BXT11">
            <v>39.94</v>
          </cell>
          <cell r="BXU11">
            <v>39.950000000000003</v>
          </cell>
          <cell r="BXV11">
            <v>39.96</v>
          </cell>
          <cell r="BXW11">
            <v>39.97</v>
          </cell>
          <cell r="BXX11">
            <v>39.979999999999997</v>
          </cell>
          <cell r="BXY11">
            <v>39.99</v>
          </cell>
          <cell r="BXZ11">
            <v>40</v>
          </cell>
          <cell r="BYA11">
            <v>40.01</v>
          </cell>
          <cell r="BYB11">
            <v>40.020000000000003</v>
          </cell>
          <cell r="BYC11">
            <v>40.03</v>
          </cell>
          <cell r="BYD11">
            <v>40.04</v>
          </cell>
          <cell r="BYE11">
            <v>40.049999999999997</v>
          </cell>
          <cell r="BYF11">
            <v>40.06</v>
          </cell>
          <cell r="BYG11">
            <v>40.07</v>
          </cell>
          <cell r="BYH11">
            <v>40.08</v>
          </cell>
          <cell r="BYI11">
            <v>40.090000000000003</v>
          </cell>
          <cell r="BYJ11">
            <v>40.1</v>
          </cell>
          <cell r="BYK11">
            <v>40.11</v>
          </cell>
          <cell r="BYL11">
            <v>40.119999999999997</v>
          </cell>
          <cell r="BYM11">
            <v>40.130000000000003</v>
          </cell>
          <cell r="BYN11">
            <v>40.14</v>
          </cell>
          <cell r="BYO11">
            <v>40.15</v>
          </cell>
          <cell r="BYP11">
            <v>40.159999999999997</v>
          </cell>
          <cell r="BYQ11">
            <v>40.17</v>
          </cell>
          <cell r="BYR11">
            <v>40.18</v>
          </cell>
          <cell r="BYS11">
            <v>40.19</v>
          </cell>
          <cell r="BYT11">
            <v>40.200000000000003</v>
          </cell>
          <cell r="BYU11">
            <v>40.21</v>
          </cell>
          <cell r="BYV11">
            <v>40.22</v>
          </cell>
          <cell r="BYW11">
            <v>40.229999999999997</v>
          </cell>
          <cell r="BYX11">
            <v>40.24</v>
          </cell>
          <cell r="BYY11">
            <v>40.25</v>
          </cell>
          <cell r="BYZ11">
            <v>40.26</v>
          </cell>
          <cell r="BZA11">
            <v>40.270000000000003</v>
          </cell>
          <cell r="BZB11">
            <v>40.28</v>
          </cell>
          <cell r="BZC11">
            <v>40.29</v>
          </cell>
          <cell r="BZD11">
            <v>40.299999999999997</v>
          </cell>
          <cell r="BZE11">
            <v>40.31</v>
          </cell>
          <cell r="BZF11">
            <v>40.32</v>
          </cell>
          <cell r="BZG11">
            <v>40.33</v>
          </cell>
          <cell r="BZH11">
            <v>40.340000000000003</v>
          </cell>
          <cell r="BZI11">
            <v>40.35</v>
          </cell>
          <cell r="BZJ11">
            <v>40.36</v>
          </cell>
          <cell r="BZK11">
            <v>40.369999999999997</v>
          </cell>
          <cell r="BZL11">
            <v>40.380000000000003</v>
          </cell>
          <cell r="BZM11">
            <v>40.39</v>
          </cell>
          <cell r="BZN11">
            <v>40.4</v>
          </cell>
          <cell r="BZO11">
            <v>40.409999999999997</v>
          </cell>
          <cell r="BZP11">
            <v>40.42</v>
          </cell>
          <cell r="BZQ11">
            <v>40.43</v>
          </cell>
          <cell r="BZR11">
            <v>40.44</v>
          </cell>
          <cell r="BZS11">
            <v>40.450000000000003</v>
          </cell>
          <cell r="BZT11">
            <v>40.46</v>
          </cell>
          <cell r="BZU11">
            <v>40.47</v>
          </cell>
          <cell r="BZV11">
            <v>40.479999999999997</v>
          </cell>
          <cell r="BZW11">
            <v>40.49</v>
          </cell>
          <cell r="BZX11">
            <v>40.5</v>
          </cell>
          <cell r="BZY11">
            <v>40.51</v>
          </cell>
          <cell r="BZZ11">
            <v>40.520000000000003</v>
          </cell>
          <cell r="CAA11">
            <v>40.53</v>
          </cell>
          <cell r="CAB11">
            <v>40.54</v>
          </cell>
          <cell r="CAC11">
            <v>40.549999999999997</v>
          </cell>
          <cell r="CAD11">
            <v>40.56</v>
          </cell>
          <cell r="CAE11">
            <v>40.57</v>
          </cell>
          <cell r="CAF11">
            <v>40.58</v>
          </cell>
          <cell r="CAG11">
            <v>40.590000000000003</v>
          </cell>
          <cell r="CAH11">
            <v>40.6</v>
          </cell>
          <cell r="CAI11">
            <v>40.61</v>
          </cell>
          <cell r="CAJ11">
            <v>40.619999999999997</v>
          </cell>
          <cell r="CAK11">
            <v>40.630000000000003</v>
          </cell>
          <cell r="CAL11">
            <v>40.64</v>
          </cell>
          <cell r="CAM11">
            <v>40.65</v>
          </cell>
          <cell r="CAN11">
            <v>40.659999999999997</v>
          </cell>
          <cell r="CAO11">
            <v>40.67</v>
          </cell>
          <cell r="CAP11">
            <v>40.68</v>
          </cell>
          <cell r="CAQ11">
            <v>40.69</v>
          </cell>
          <cell r="CAR11">
            <v>40.700000000000003</v>
          </cell>
          <cell r="CAS11">
            <v>40.71</v>
          </cell>
          <cell r="CAT11">
            <v>40.72</v>
          </cell>
          <cell r="CAU11">
            <v>40.729999999999997</v>
          </cell>
          <cell r="CAV11">
            <v>40.74</v>
          </cell>
          <cell r="CAW11">
            <v>40.75</v>
          </cell>
          <cell r="CAX11">
            <v>40.76</v>
          </cell>
          <cell r="CAY11">
            <v>40.770000000000003</v>
          </cell>
          <cell r="CAZ11">
            <v>40.78</v>
          </cell>
          <cell r="CBA11">
            <v>40.79</v>
          </cell>
          <cell r="CBB11">
            <v>40.799999999999997</v>
          </cell>
          <cell r="CBC11">
            <v>40.81</v>
          </cell>
          <cell r="CBD11">
            <v>40.82</v>
          </cell>
          <cell r="CBE11">
            <v>40.83</v>
          </cell>
          <cell r="CBF11">
            <v>40.840000000000003</v>
          </cell>
          <cell r="CBG11">
            <v>40.85</v>
          </cell>
          <cell r="CBH11">
            <v>40.86</v>
          </cell>
          <cell r="CBI11">
            <v>40.869999999999997</v>
          </cell>
          <cell r="CBJ11">
            <v>40.880000000000003</v>
          </cell>
          <cell r="CBK11">
            <v>40.89</v>
          </cell>
          <cell r="CBL11">
            <v>40.9</v>
          </cell>
          <cell r="CBM11">
            <v>40.909999999999997</v>
          </cell>
          <cell r="CBN11">
            <v>40.92</v>
          </cell>
          <cell r="CBO11">
            <v>40.93</v>
          </cell>
          <cell r="CBP11">
            <v>40.94</v>
          </cell>
          <cell r="CBQ11">
            <v>40.950000000000003</v>
          </cell>
          <cell r="CBR11">
            <v>40.96</v>
          </cell>
          <cell r="CBS11">
            <v>40.97</v>
          </cell>
          <cell r="CBT11">
            <v>40.98</v>
          </cell>
          <cell r="CBU11">
            <v>40.99</v>
          </cell>
          <cell r="CBV11">
            <v>41</v>
          </cell>
          <cell r="CBW11">
            <v>41.01</v>
          </cell>
          <cell r="CBX11">
            <v>41.02</v>
          </cell>
          <cell r="CBY11">
            <v>41.03</v>
          </cell>
          <cell r="CBZ11">
            <v>41.04</v>
          </cell>
          <cell r="CCA11">
            <v>41.05</v>
          </cell>
          <cell r="CCB11">
            <v>41.06</v>
          </cell>
          <cell r="CCC11">
            <v>41.07</v>
          </cell>
          <cell r="CCD11">
            <v>41.08</v>
          </cell>
          <cell r="CCE11">
            <v>41.09</v>
          </cell>
          <cell r="CCF11">
            <v>41.1</v>
          </cell>
          <cell r="CCG11">
            <v>41.11</v>
          </cell>
          <cell r="CCH11">
            <v>41.12</v>
          </cell>
          <cell r="CCI11">
            <v>41.13</v>
          </cell>
          <cell r="CCJ11">
            <v>41.14</v>
          </cell>
          <cell r="CCK11">
            <v>41.15</v>
          </cell>
          <cell r="CCL11">
            <v>41.16</v>
          </cell>
          <cell r="CCM11">
            <v>41.17</v>
          </cell>
          <cell r="CCN11">
            <v>41.18</v>
          </cell>
          <cell r="CCO11">
            <v>41.19</v>
          </cell>
          <cell r="CCP11">
            <v>41.2</v>
          </cell>
          <cell r="CCQ11">
            <v>41.21</v>
          </cell>
          <cell r="CCR11">
            <v>41.22</v>
          </cell>
          <cell r="CCS11">
            <v>41.23</v>
          </cell>
          <cell r="CCT11">
            <v>41.24</v>
          </cell>
          <cell r="CCU11">
            <v>41.25</v>
          </cell>
          <cell r="CCV11">
            <v>41.26</v>
          </cell>
          <cell r="CCW11">
            <v>41.27</v>
          </cell>
          <cell r="CCX11">
            <v>41.28</v>
          </cell>
          <cell r="CCY11">
            <v>41.29</v>
          </cell>
          <cell r="CCZ11">
            <v>41.3</v>
          </cell>
          <cell r="CDA11">
            <v>41.31</v>
          </cell>
          <cell r="CDB11">
            <v>41.32</v>
          </cell>
          <cell r="CDC11">
            <v>41.33</v>
          </cell>
          <cell r="CDD11">
            <v>41.34</v>
          </cell>
          <cell r="CDE11">
            <v>41.35</v>
          </cell>
          <cell r="CDF11">
            <v>41.36</v>
          </cell>
          <cell r="CDG11">
            <v>41.37</v>
          </cell>
          <cell r="CDH11">
            <v>41.38</v>
          </cell>
          <cell r="CDI11">
            <v>41.39</v>
          </cell>
          <cell r="CDJ11">
            <v>41.4</v>
          </cell>
          <cell r="CDK11">
            <v>41.41</v>
          </cell>
          <cell r="CDL11">
            <v>41.42</v>
          </cell>
          <cell r="CDM11">
            <v>41.43</v>
          </cell>
          <cell r="CDN11">
            <v>41.44</v>
          </cell>
          <cell r="CDO11">
            <v>41.45</v>
          </cell>
          <cell r="CDP11">
            <v>41.46</v>
          </cell>
          <cell r="CDQ11">
            <v>41.47</v>
          </cell>
          <cell r="CDR11">
            <v>41.48</v>
          </cell>
          <cell r="CDS11">
            <v>41.49</v>
          </cell>
          <cell r="CDT11">
            <v>41.5</v>
          </cell>
          <cell r="CDU11">
            <v>41.51</v>
          </cell>
          <cell r="CDV11">
            <v>41.52</v>
          </cell>
          <cell r="CDW11">
            <v>41.53</v>
          </cell>
          <cell r="CDX11">
            <v>41.54</v>
          </cell>
          <cell r="CDY11">
            <v>41.55</v>
          </cell>
          <cell r="CDZ11">
            <v>41.56</v>
          </cell>
          <cell r="CEA11">
            <v>41.57</v>
          </cell>
          <cell r="CEB11">
            <v>41.58</v>
          </cell>
          <cell r="CEC11">
            <v>41.59</v>
          </cell>
          <cell r="CED11">
            <v>41.6</v>
          </cell>
          <cell r="CEE11">
            <v>41.61</v>
          </cell>
          <cell r="CEF11">
            <v>41.62</v>
          </cell>
          <cell r="CEG11">
            <v>41.63</v>
          </cell>
          <cell r="CEH11">
            <v>41.64</v>
          </cell>
          <cell r="CEI11">
            <v>41.65</v>
          </cell>
          <cell r="CEJ11">
            <v>41.66</v>
          </cell>
          <cell r="CEK11">
            <v>41.67</v>
          </cell>
          <cell r="CEL11">
            <v>41.68</v>
          </cell>
          <cell r="CEM11">
            <v>41.69</v>
          </cell>
          <cell r="CEN11">
            <v>41.7</v>
          </cell>
          <cell r="CEO11">
            <v>41.71</v>
          </cell>
          <cell r="CEP11">
            <v>41.72</v>
          </cell>
          <cell r="CEQ11">
            <v>41.73</v>
          </cell>
          <cell r="CER11">
            <v>41.74</v>
          </cell>
          <cell r="CES11">
            <v>41.75</v>
          </cell>
          <cell r="CET11">
            <v>41.76</v>
          </cell>
          <cell r="CEU11">
            <v>41.77</v>
          </cell>
          <cell r="CEV11">
            <v>41.78</v>
          </cell>
          <cell r="CEW11">
            <v>41.79</v>
          </cell>
          <cell r="CEX11">
            <v>41.8</v>
          </cell>
          <cell r="CEY11">
            <v>41.81</v>
          </cell>
          <cell r="CEZ11">
            <v>41.82</v>
          </cell>
          <cell r="CFA11">
            <v>41.83</v>
          </cell>
          <cell r="CFB11">
            <v>41.84</v>
          </cell>
          <cell r="CFC11">
            <v>41.85</v>
          </cell>
          <cell r="CFD11">
            <v>41.86</v>
          </cell>
          <cell r="CFE11">
            <v>41.87</v>
          </cell>
          <cell r="CFF11">
            <v>41.88</v>
          </cell>
          <cell r="CFG11">
            <v>41.89</v>
          </cell>
          <cell r="CFH11">
            <v>41.9</v>
          </cell>
          <cell r="CFI11">
            <v>41.91</v>
          </cell>
          <cell r="CFJ11">
            <v>41.92</v>
          </cell>
          <cell r="CFK11">
            <v>41.93</v>
          </cell>
          <cell r="CFL11">
            <v>41.94</v>
          </cell>
          <cell r="CFM11">
            <v>41.95</v>
          </cell>
          <cell r="CFN11">
            <v>41.96</v>
          </cell>
          <cell r="CFO11">
            <v>41.97</v>
          </cell>
          <cell r="CFP11">
            <v>41.98</v>
          </cell>
          <cell r="CFQ11">
            <v>41.99</v>
          </cell>
          <cell r="CFR11">
            <v>42</v>
          </cell>
          <cell r="CFS11">
            <v>42.01</v>
          </cell>
          <cell r="CFT11">
            <v>42.02</v>
          </cell>
          <cell r="CFU11">
            <v>42.03</v>
          </cell>
          <cell r="CFV11">
            <v>42.04</v>
          </cell>
          <cell r="CFW11">
            <v>42.05</v>
          </cell>
          <cell r="CFX11">
            <v>42.06</v>
          </cell>
          <cell r="CFY11">
            <v>42.07</v>
          </cell>
          <cell r="CFZ11">
            <v>42.08</v>
          </cell>
          <cell r="CGA11">
            <v>42.09</v>
          </cell>
          <cell r="CGB11">
            <v>42.1</v>
          </cell>
          <cell r="CGC11">
            <v>42.11</v>
          </cell>
          <cell r="CGD11">
            <v>42.12</v>
          </cell>
          <cell r="CGE11">
            <v>42.13</v>
          </cell>
          <cell r="CGF11">
            <v>42.14</v>
          </cell>
          <cell r="CGG11">
            <v>42.15</v>
          </cell>
          <cell r="CGH11">
            <v>42.16</v>
          </cell>
          <cell r="CGI11">
            <v>42.17</v>
          </cell>
          <cell r="CGJ11">
            <v>42.18</v>
          </cell>
          <cell r="CGK11">
            <v>42.19</v>
          </cell>
          <cell r="CGL11">
            <v>42.2</v>
          </cell>
          <cell r="CGM11">
            <v>42.21</v>
          </cell>
          <cell r="CGN11">
            <v>42.22</v>
          </cell>
          <cell r="CGO11">
            <v>42.23</v>
          </cell>
          <cell r="CGP11">
            <v>42.24</v>
          </cell>
          <cell r="CGQ11">
            <v>42.25</v>
          </cell>
          <cell r="CGR11">
            <v>42.26</v>
          </cell>
          <cell r="CGS11">
            <v>42.27</v>
          </cell>
          <cell r="CGT11">
            <v>42.28</v>
          </cell>
          <cell r="CGU11">
            <v>42.29</v>
          </cell>
          <cell r="CGV11">
            <v>42.3</v>
          </cell>
          <cell r="CGW11">
            <v>42.31</v>
          </cell>
          <cell r="CGX11">
            <v>42.32</v>
          </cell>
          <cell r="CGY11">
            <v>42.33</v>
          </cell>
          <cell r="CGZ11">
            <v>42.34</v>
          </cell>
          <cell r="CHA11">
            <v>42.35</v>
          </cell>
          <cell r="CHB11">
            <v>42.36</v>
          </cell>
          <cell r="CHC11">
            <v>42.37</v>
          </cell>
          <cell r="CHD11">
            <v>42.38</v>
          </cell>
          <cell r="CHE11">
            <v>42.39</v>
          </cell>
          <cell r="CHF11">
            <v>42.4</v>
          </cell>
          <cell r="CHG11">
            <v>42.41</v>
          </cell>
          <cell r="CHH11">
            <v>42.42</v>
          </cell>
          <cell r="CHI11">
            <v>42.43</v>
          </cell>
          <cell r="CHJ11">
            <v>42.44</v>
          </cell>
          <cell r="CHK11">
            <v>42.45</v>
          </cell>
          <cell r="CHL11">
            <v>42.46</v>
          </cell>
          <cell r="CHM11">
            <v>42.47</v>
          </cell>
          <cell r="CHN11">
            <v>42.48</v>
          </cell>
          <cell r="CHO11">
            <v>42.49</v>
          </cell>
          <cell r="CHP11">
            <v>42.5</v>
          </cell>
          <cell r="CHQ11">
            <v>42.51</v>
          </cell>
          <cell r="CHR11">
            <v>42.52</v>
          </cell>
          <cell r="CHS11">
            <v>42.53</v>
          </cell>
          <cell r="CHT11">
            <v>42.54</v>
          </cell>
          <cell r="CHU11">
            <v>42.55</v>
          </cell>
          <cell r="CHV11">
            <v>42.56</v>
          </cell>
          <cell r="CHW11">
            <v>42.57</v>
          </cell>
          <cell r="CHX11">
            <v>42.58</v>
          </cell>
          <cell r="CHY11">
            <v>42.59</v>
          </cell>
          <cell r="CHZ11">
            <v>42.6</v>
          </cell>
          <cell r="CIA11">
            <v>42.61</v>
          </cell>
          <cell r="CIB11">
            <v>42.62</v>
          </cell>
          <cell r="CIC11">
            <v>42.63</v>
          </cell>
          <cell r="CID11">
            <v>42.64</v>
          </cell>
          <cell r="CIE11">
            <v>42.65</v>
          </cell>
          <cell r="CIF11">
            <v>42.66</v>
          </cell>
          <cell r="CIG11">
            <v>42.67</v>
          </cell>
          <cell r="CIH11">
            <v>42.68</v>
          </cell>
          <cell r="CII11">
            <v>42.69</v>
          </cell>
          <cell r="CIJ11">
            <v>42.7</v>
          </cell>
          <cell r="CIK11">
            <v>42.71</v>
          </cell>
          <cell r="CIL11">
            <v>42.72</v>
          </cell>
          <cell r="CIM11">
            <v>42.73</v>
          </cell>
          <cell r="CIN11">
            <v>42.74</v>
          </cell>
          <cell r="CIO11">
            <v>42.75</v>
          </cell>
          <cell r="CIP11">
            <v>42.76</v>
          </cell>
          <cell r="CIQ11">
            <v>42.77</v>
          </cell>
          <cell r="CIR11">
            <v>42.78</v>
          </cell>
          <cell r="CIS11">
            <v>42.79</v>
          </cell>
          <cell r="CIT11">
            <v>42.8</v>
          </cell>
          <cell r="CIU11">
            <v>42.81</v>
          </cell>
          <cell r="CIV11">
            <v>42.82</v>
          </cell>
          <cell r="CIW11">
            <v>42.83</v>
          </cell>
          <cell r="CIX11">
            <v>42.84</v>
          </cell>
          <cell r="CIY11">
            <v>42.85</v>
          </cell>
          <cell r="CIZ11">
            <v>42.86</v>
          </cell>
          <cell r="CJA11">
            <v>42.87</v>
          </cell>
          <cell r="CJB11">
            <v>42.88</v>
          </cell>
          <cell r="CJC11">
            <v>42.89</v>
          </cell>
          <cell r="CJD11">
            <v>42.9</v>
          </cell>
          <cell r="CJE11">
            <v>42.91</v>
          </cell>
          <cell r="CJF11">
            <v>42.92</v>
          </cell>
          <cell r="CJG11">
            <v>42.93</v>
          </cell>
          <cell r="CJH11">
            <v>42.94</v>
          </cell>
          <cell r="CJI11">
            <v>42.95</v>
          </cell>
          <cell r="CJJ11">
            <v>42.96</v>
          </cell>
          <cell r="CJK11">
            <v>42.97</v>
          </cell>
          <cell r="CJL11">
            <v>42.98</v>
          </cell>
          <cell r="CJM11">
            <v>42.99</v>
          </cell>
          <cell r="CJN11">
            <v>43</v>
          </cell>
          <cell r="CJO11">
            <v>43.01</v>
          </cell>
          <cell r="CJP11">
            <v>43.02</v>
          </cell>
          <cell r="CJQ11">
            <v>43.03</v>
          </cell>
          <cell r="CJR11">
            <v>43.04</v>
          </cell>
          <cell r="CJS11">
            <v>43.05</v>
          </cell>
          <cell r="CJT11">
            <v>43.06</v>
          </cell>
          <cell r="CJU11">
            <v>43.07</v>
          </cell>
          <cell r="CJV11">
            <v>43.08</v>
          </cell>
          <cell r="CJW11">
            <v>43.09</v>
          </cell>
          <cell r="CJX11">
            <v>43.1</v>
          </cell>
          <cell r="CJY11">
            <v>43.11</v>
          </cell>
          <cell r="CJZ11">
            <v>43.12</v>
          </cell>
          <cell r="CKA11">
            <v>43.13</v>
          </cell>
          <cell r="CKB11">
            <v>43.14</v>
          </cell>
          <cell r="CKC11">
            <v>43.15</v>
          </cell>
          <cell r="CKD11">
            <v>43.16</v>
          </cell>
          <cell r="CKE11">
            <v>43.17</v>
          </cell>
          <cell r="CKF11">
            <v>43.18</v>
          </cell>
          <cell r="CKG11">
            <v>43.19</v>
          </cell>
          <cell r="CKH11">
            <v>43.2</v>
          </cell>
          <cell r="CKI11">
            <v>43.21</v>
          </cell>
          <cell r="CKJ11">
            <v>43.22</v>
          </cell>
          <cell r="CKK11">
            <v>43.23</v>
          </cell>
          <cell r="CKL11">
            <v>43.24</v>
          </cell>
          <cell r="CKM11">
            <v>43.25</v>
          </cell>
          <cell r="CKN11">
            <v>43.26</v>
          </cell>
          <cell r="CKO11">
            <v>43.27</v>
          </cell>
          <cell r="CKP11">
            <v>43.28</v>
          </cell>
          <cell r="CKQ11">
            <v>43.29</v>
          </cell>
          <cell r="CKR11">
            <v>43.3</v>
          </cell>
          <cell r="CKS11">
            <v>43.31</v>
          </cell>
          <cell r="CKT11">
            <v>43.32</v>
          </cell>
          <cell r="CKU11">
            <v>43.33</v>
          </cell>
          <cell r="CKV11">
            <v>43.34</v>
          </cell>
          <cell r="CKW11">
            <v>43.35</v>
          </cell>
          <cell r="CKX11">
            <v>43.36</v>
          </cell>
          <cell r="CKY11">
            <v>43.37</v>
          </cell>
          <cell r="CKZ11">
            <v>43.38</v>
          </cell>
          <cell r="CLA11">
            <v>43.39</v>
          </cell>
          <cell r="CLB11">
            <v>43.4</v>
          </cell>
          <cell r="CLC11">
            <v>43.41</v>
          </cell>
          <cell r="CLD11">
            <v>43.42</v>
          </cell>
          <cell r="CLE11">
            <v>43.43</v>
          </cell>
          <cell r="CLF11">
            <v>43.44</v>
          </cell>
          <cell r="CLG11">
            <v>43.45</v>
          </cell>
          <cell r="CLH11">
            <v>43.46</v>
          </cell>
          <cell r="CLI11">
            <v>43.47</v>
          </cell>
          <cell r="CLJ11">
            <v>43.48</v>
          </cell>
          <cell r="CLK11">
            <v>43.49</v>
          </cell>
          <cell r="CLL11">
            <v>43.5</v>
          </cell>
          <cell r="CLM11">
            <v>43.51</v>
          </cell>
          <cell r="CLN11">
            <v>43.52</v>
          </cell>
          <cell r="CLO11">
            <v>43.53</v>
          </cell>
          <cell r="CLP11">
            <v>43.54</v>
          </cell>
          <cell r="CLQ11">
            <v>43.55</v>
          </cell>
          <cell r="CLR11">
            <v>43.56</v>
          </cell>
          <cell r="CLS11">
            <v>43.57</v>
          </cell>
          <cell r="CLT11">
            <v>43.58</v>
          </cell>
          <cell r="CLU11">
            <v>43.59</v>
          </cell>
          <cell r="CLV11">
            <v>43.6</v>
          </cell>
          <cell r="CLW11">
            <v>43.61</v>
          </cell>
          <cell r="CLX11">
            <v>43.62</v>
          </cell>
          <cell r="CLY11">
            <v>43.63</v>
          </cell>
          <cell r="CLZ11">
            <v>43.64</v>
          </cell>
          <cell r="CMA11">
            <v>43.65</v>
          </cell>
          <cell r="CMB11">
            <v>43.66</v>
          </cell>
          <cell r="CMC11">
            <v>43.67</v>
          </cell>
          <cell r="CMD11">
            <v>43.68</v>
          </cell>
          <cell r="CME11">
            <v>43.69</v>
          </cell>
          <cell r="CMF11">
            <v>43.7</v>
          </cell>
          <cell r="CMG11">
            <v>43.71</v>
          </cell>
          <cell r="CMH11">
            <v>43.72</v>
          </cell>
          <cell r="CMI11">
            <v>43.73</v>
          </cell>
          <cell r="CMJ11">
            <v>43.74</v>
          </cell>
          <cell r="CMK11">
            <v>43.75</v>
          </cell>
          <cell r="CML11">
            <v>43.76</v>
          </cell>
          <cell r="CMM11">
            <v>43.77</v>
          </cell>
          <cell r="CMN11">
            <v>43.78</v>
          </cell>
          <cell r="CMO11">
            <v>43.79</v>
          </cell>
          <cell r="CMP11">
            <v>43.8</v>
          </cell>
          <cell r="CMQ11">
            <v>43.81</v>
          </cell>
          <cell r="CMR11">
            <v>43.82</v>
          </cell>
          <cell r="CMS11">
            <v>43.83</v>
          </cell>
          <cell r="CMT11">
            <v>43.84</v>
          </cell>
          <cell r="CMU11">
            <v>43.85</v>
          </cell>
          <cell r="CMV11">
            <v>43.86</v>
          </cell>
          <cell r="CMW11">
            <v>43.87</v>
          </cell>
          <cell r="CMX11">
            <v>43.88</v>
          </cell>
          <cell r="CMY11">
            <v>43.89</v>
          </cell>
          <cell r="CMZ11">
            <v>43.9</v>
          </cell>
          <cell r="CNA11">
            <v>43.91</v>
          </cell>
          <cell r="CNB11">
            <v>43.92</v>
          </cell>
          <cell r="CNC11">
            <v>43.93</v>
          </cell>
          <cell r="CND11">
            <v>43.94</v>
          </cell>
          <cell r="CNE11">
            <v>43.95</v>
          </cell>
          <cell r="CNF11">
            <v>43.96</v>
          </cell>
          <cell r="CNG11">
            <v>43.97</v>
          </cell>
          <cell r="CNH11">
            <v>43.98</v>
          </cell>
          <cell r="CNI11">
            <v>43.99</v>
          </cell>
          <cell r="CNJ11">
            <v>44</v>
          </cell>
          <cell r="CNK11">
            <v>44.01</v>
          </cell>
          <cell r="CNL11">
            <v>44.02</v>
          </cell>
          <cell r="CNM11">
            <v>44.03</v>
          </cell>
          <cell r="CNN11">
            <v>44.04</v>
          </cell>
          <cell r="CNO11">
            <v>44.05</v>
          </cell>
          <cell r="CNP11">
            <v>44.06</v>
          </cell>
          <cell r="CNQ11">
            <v>44.07</v>
          </cell>
          <cell r="CNR11">
            <v>44.08</v>
          </cell>
          <cell r="CNS11">
            <v>44.09</v>
          </cell>
          <cell r="CNT11">
            <v>44.1</v>
          </cell>
          <cell r="CNU11">
            <v>44.11</v>
          </cell>
          <cell r="CNV11">
            <v>44.12</v>
          </cell>
          <cell r="CNW11">
            <v>44.13</v>
          </cell>
          <cell r="CNX11">
            <v>44.14</v>
          </cell>
          <cell r="CNY11">
            <v>44.15</v>
          </cell>
          <cell r="CNZ11">
            <v>44.16</v>
          </cell>
          <cell r="COA11">
            <v>44.17</v>
          </cell>
          <cell r="COB11">
            <v>44.18</v>
          </cell>
          <cell r="COC11">
            <v>44.19</v>
          </cell>
          <cell r="COD11">
            <v>44.2</v>
          </cell>
          <cell r="COE11">
            <v>44.21</v>
          </cell>
          <cell r="COF11">
            <v>44.22</v>
          </cell>
          <cell r="COG11">
            <v>44.23</v>
          </cell>
          <cell r="COH11">
            <v>44.24</v>
          </cell>
          <cell r="COI11">
            <v>44.25</v>
          </cell>
          <cell r="COJ11">
            <v>44.26</v>
          </cell>
          <cell r="COK11">
            <v>44.27</v>
          </cell>
          <cell r="COL11">
            <v>44.28</v>
          </cell>
          <cell r="COM11">
            <v>44.29</v>
          </cell>
          <cell r="CON11">
            <v>44.3</v>
          </cell>
          <cell r="COO11">
            <v>44.31</v>
          </cell>
          <cell r="COP11">
            <v>44.32</v>
          </cell>
          <cell r="COQ11">
            <v>44.33</v>
          </cell>
          <cell r="COR11">
            <v>44.34</v>
          </cell>
          <cell r="COS11">
            <v>44.35</v>
          </cell>
          <cell r="COT11">
            <v>44.36</v>
          </cell>
          <cell r="COU11">
            <v>44.37</v>
          </cell>
          <cell r="COV11">
            <v>44.38</v>
          </cell>
          <cell r="COW11">
            <v>44.39</v>
          </cell>
          <cell r="COX11">
            <v>44.4</v>
          </cell>
          <cell r="COY11">
            <v>44.41</v>
          </cell>
          <cell r="COZ11">
            <v>44.42</v>
          </cell>
          <cell r="CPA11">
            <v>44.43</v>
          </cell>
          <cell r="CPB11">
            <v>44.44</v>
          </cell>
          <cell r="CPC11">
            <v>44.45</v>
          </cell>
          <cell r="CPD11">
            <v>44.46</v>
          </cell>
          <cell r="CPE11">
            <v>44.47</v>
          </cell>
          <cell r="CPF11">
            <v>44.48</v>
          </cell>
          <cell r="CPG11">
            <v>44.49</v>
          </cell>
          <cell r="CPH11">
            <v>44.5</v>
          </cell>
          <cell r="CPI11">
            <v>44.51</v>
          </cell>
          <cell r="CPJ11">
            <v>44.52</v>
          </cell>
          <cell r="CPK11">
            <v>44.53</v>
          </cell>
          <cell r="CPL11">
            <v>44.54</v>
          </cell>
          <cell r="CPM11">
            <v>44.55</v>
          </cell>
          <cell r="CPN11">
            <v>44.56</v>
          </cell>
          <cell r="CPO11">
            <v>44.57</v>
          </cell>
          <cell r="CPP11">
            <v>44.58</v>
          </cell>
          <cell r="CPQ11">
            <v>44.59</v>
          </cell>
          <cell r="CPR11">
            <v>44.6</v>
          </cell>
          <cell r="CPS11">
            <v>44.61</v>
          </cell>
          <cell r="CPT11">
            <v>44.62</v>
          </cell>
          <cell r="CPU11">
            <v>44.63</v>
          </cell>
          <cell r="CPV11">
            <v>44.64</v>
          </cell>
          <cell r="CPW11">
            <v>44.65</v>
          </cell>
          <cell r="CPX11">
            <v>44.66</v>
          </cell>
          <cell r="CPY11">
            <v>44.67</v>
          </cell>
          <cell r="CPZ11">
            <v>44.68</v>
          </cell>
          <cell r="CQA11">
            <v>44.69</v>
          </cell>
          <cell r="CQB11">
            <v>44.7</v>
          </cell>
          <cell r="CQC11">
            <v>44.71</v>
          </cell>
          <cell r="CQD11">
            <v>44.72</v>
          </cell>
          <cell r="CQE11">
            <v>44.73</v>
          </cell>
          <cell r="CQF11">
            <v>44.74</v>
          </cell>
          <cell r="CQG11">
            <v>44.75</v>
          </cell>
          <cell r="CQH11">
            <v>44.76</v>
          </cell>
          <cell r="CQI11">
            <v>44.77</v>
          </cell>
          <cell r="CQJ11">
            <v>44.78</v>
          </cell>
          <cell r="CQK11">
            <v>44.79</v>
          </cell>
          <cell r="CQL11">
            <v>44.8</v>
          </cell>
          <cell r="CQM11">
            <v>44.81</v>
          </cell>
          <cell r="CQN11">
            <v>44.82</v>
          </cell>
          <cell r="CQO11">
            <v>44.83</v>
          </cell>
          <cell r="CQP11">
            <v>44.84</v>
          </cell>
          <cell r="CQQ11">
            <v>44.85</v>
          </cell>
          <cell r="CQR11">
            <v>44.86</v>
          </cell>
          <cell r="CQS11">
            <v>44.87</v>
          </cell>
          <cell r="CQT11">
            <v>44.88</v>
          </cell>
          <cell r="CQU11">
            <v>44.89</v>
          </cell>
          <cell r="CQV11">
            <v>44.9</v>
          </cell>
          <cell r="CQW11">
            <v>44.91</v>
          </cell>
          <cell r="CQX11">
            <v>44.92</v>
          </cell>
          <cell r="CQY11">
            <v>44.93</v>
          </cell>
          <cell r="CQZ11">
            <v>44.94</v>
          </cell>
          <cell r="CRA11">
            <v>44.95</v>
          </cell>
          <cell r="CRB11">
            <v>44.96</v>
          </cell>
          <cell r="CRC11">
            <v>44.97</v>
          </cell>
          <cell r="CRD11">
            <v>44.98</v>
          </cell>
          <cell r="CRE11">
            <v>44.99</v>
          </cell>
          <cell r="CRF11">
            <v>45</v>
          </cell>
        </row>
        <row r="12">
          <cell r="B12" t="str">
            <v>INCLUDED)</v>
          </cell>
          <cell r="C12" t="str">
            <v>EXCLUDED)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Ф1 Актив 1-2"/>
      <sheetName val="незав. Домодедово"/>
      <sheetName val="Ф1"/>
      <sheetName val="60 счет"/>
      <sheetName val="Balance"/>
      <sheetName val="Inputs"/>
      <sheetName val="Предположения КАС"/>
      <sheetName val="Ст"/>
      <sheetName val="CEZ_Model_16_m"/>
      <sheetName val="0_33"/>
      <sheetName val="Акты дебиторов"/>
      <sheetName val="RAS BS+"/>
      <sheetName val="VAT"/>
      <sheetName val="Допущения"/>
      <sheetName val="Долг"/>
      <sheetName val="ПРР"/>
      <sheetName val="Ф-1"/>
      <sheetName val="Справочники"/>
      <sheetName val="Natl Consult Reg."/>
      <sheetName val="Balance sheet"/>
      <sheetName val="Data"/>
      <sheetName val="Корр-ка_на_со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Glossary"/>
      <sheetName val="Rev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Содержание"/>
      <sheetName val="Исх_данные"/>
      <sheetName val="Потоки"/>
      <sheetName val="свед"/>
      <sheetName val="MGSN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FES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Assumpt."/>
      <sheetName val="Valspar"/>
      <sheetName val="FX Adjustment"/>
      <sheetName val="BDG"/>
      <sheetName val="Paths"/>
      <sheetName val="INDEX"/>
      <sheetName val="Коэф_выр-ки"/>
      <sheetName val="Коэф_затрат"/>
      <sheetName val="comps"/>
      <sheetName val="А_Произв-во"/>
      <sheetName val="вводные"/>
      <sheetName val="Коэф-ты"/>
      <sheetName val="Sheet11"/>
      <sheetName val="Лист1"/>
      <sheetName val="60_счет"/>
      <sheetName val="BISales"/>
      <sheetName val="Статьи БДДС"/>
      <sheetName val="списки"/>
      <sheetName val="TREND_tengis&amp;emba"/>
      <sheetName val="стр.145 рос. исп"/>
      <sheetName val="Share Price 2002"/>
      <sheetName val="UNITSCHD"/>
      <sheetName val="PriceSummary"/>
      <sheetName val="ЗУ_торг"/>
      <sheetName val="Sheet5"/>
      <sheetName val="Assumptions"/>
      <sheetName val="ЗП"/>
      <sheetName val="ЗУ 2015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BS_h&amp;#38;p"/>
      <sheetName val="IS_h&amp;#38;p"/>
      <sheetName val="TREND_tengis&amp;#38;emba"/>
      <sheetName val="Doc_Name"/>
      <sheetName val="Спис_Объекты_недв"/>
      <sheetName val="восст"/>
      <sheetName val="1a. Beta extract"/>
      <sheetName val="сравнение по удаленности"/>
      <sheetName val="Аренда"/>
      <sheetName val="ИнвОпись"/>
      <sheetName val="Sheet1"/>
      <sheetName val="BS_h_p"/>
      <sheetName val="IS_h_p"/>
      <sheetName val="Source"/>
      <sheetName val="Группы"/>
      <sheetName val="Аналог 2"/>
      <sheetName val="X"/>
      <sheetName val="X1"/>
      <sheetName val="1.ИСХ"/>
      <sheetName val="документы Кириши"/>
      <sheetName val="Резервы"/>
      <sheetName val="Сведение_объект"/>
      <sheetName val="общие_данные"/>
      <sheetName val="Аренда_Торговля"/>
      <sheetName val="Аренда_СТО"/>
      <sheetName val="график01_09_02"/>
      <sheetName val="Метод_остатка"/>
      <sheetName val="14_ДП"/>
      <sheetName val="1_ИСХ_"/>
      <sheetName val="7_ЗУ_ГУИОН!"/>
      <sheetName val="исх_1"/>
      <sheetName val="1_ИСХ"/>
      <sheetName val="документы_Кириши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Титул"/>
      <sheetName val="2006 $"/>
      <sheetName val="А5"/>
      <sheetName val="RAS_BS+"/>
      <sheetName val="незав__Домодедово"/>
      <sheetName val="Предположения_КАС"/>
      <sheetName val="Natl_Consult_Reg_"/>
      <sheetName val="Balance_sheet"/>
      <sheetName val="+5610.04"/>
      <sheetName val="Кедровский"/>
      <sheetName val="Audit Results"/>
      <sheetName val="Audit Results Upper Stratum"/>
      <sheetName val="Planning"/>
      <sheetName val="Population Characteristics"/>
      <sheetName val="регион"/>
      <sheetName val="в тенге"/>
      <sheetName val="7.1"/>
      <sheetName val="6НК-cт."/>
      <sheetName val="Proforma 2010"/>
      <sheetName val="МОЭСК_РЭТО"/>
      <sheetName val="ДЗ_КЗ"/>
      <sheetName val="Регионы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Workings"/>
      <sheetName val="Macroeconomic Assumptions"/>
      <sheetName val="Income Statement"/>
      <sheetName val="Offsets &amp; Other Costs"/>
      <sheetName val="Фин.вложения"/>
      <sheetName val="Util Penalty"/>
      <sheetName val="BK_FRP"/>
      <sheetName val="BK cast h"/>
      <sheetName val="EEP RCNs"/>
      <sheetName val="SMZ_FRP"/>
      <sheetName val="УФ-61"/>
      <sheetName val="Страхование имущества"/>
      <sheetName val="Диаграммы"/>
      <sheetName val="Баз предп"/>
      <sheetName val="Master Input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Master_Input_Sheet_Start_Here1"/>
      <sheetName val="Inputs_Sheet1"/>
      <sheetName val="Ввод_данных_Эл_21"/>
      <sheetName val="Ввод_данных_Эл__11"/>
      <sheetName val="Ввод_данных_Эл_31"/>
      <sheetName val="Ввод_данных_Эл_41"/>
      <sheetName val="Ввод_данных_Эл__51"/>
      <sheetName val="HBS_initial1"/>
      <sheetName val="HIS_initial1"/>
      <sheetName val="Производство_электроэнергии1"/>
      <sheetName val="Т19_11"/>
      <sheetName val="Cost_Allocation1"/>
      <sheetName val="60_счет1"/>
      <sheetName val="Акты_дебиторов"/>
      <sheetName val="Assumpt_"/>
      <sheetName val="FX_Adjustment"/>
      <sheetName val="Ф1_Актив_1-2"/>
      <sheetName val="6_Продажа_квартир"/>
      <sheetName val="3_ЗАТРАТЫ"/>
      <sheetName val="ДП_пессимист_"/>
      <sheetName val="Share_Price_2002"/>
      <sheetName val="стр_145_рос__исп"/>
      <sheetName val="Location_(Naming)"/>
      <sheetName val="Location_Handling"/>
      <sheetName val="ProductBundle_(Naming)"/>
      <sheetName val="Location_Cap"/>
      <sheetName val="ProcessMode_Coefficients"/>
      <sheetName val="общие_сведения"/>
      <sheetName val="график_строительства"/>
      <sheetName val="9_ДП"/>
      <sheetName val="стр-во_склад"/>
      <sheetName val="Статьи_БДДС"/>
      <sheetName val="Аналог_2"/>
      <sheetName val="F1_SPRAV"/>
      <sheetName val="СРАВН 47"/>
      <sheetName val="RAS_BS+1"/>
      <sheetName val="незав__Домодедово1"/>
      <sheetName val="Предположения_КАС1"/>
      <sheetName val="Natl_Consult_Reg_1"/>
      <sheetName val="Balance_sheet1"/>
      <sheetName val="GLC_Market_Approach2"/>
      <sheetName val="Operating_Data2"/>
      <sheetName val="Read_me_first2"/>
      <sheetName val="Master_Inputs_Start_here2"/>
      <sheetName val="Ф1_АТЭЦ2"/>
      <sheetName val="Ф1_ЕТЭЦ2"/>
      <sheetName val="Ф1_НГРЭС2"/>
      <sheetName val="Ф1_ПТЭЦ2"/>
      <sheetName val="Ф1_ЩГРЭС2"/>
      <sheetName val="Ф_2_АТЭЦ2"/>
      <sheetName val="Ф2_ЕТЭЦ2"/>
      <sheetName val="Ф_2_НГРЭС2"/>
      <sheetName val="Ф2_ПТЭЦ2"/>
      <sheetName val="Ф_2_ЩГРЭС2"/>
      <sheetName val="Ввод_данных_ЩГРЭС2"/>
      <sheetName val="Ввод_общих_данных2"/>
      <sheetName val="Расчет_тарифов_и_выручки2"/>
      <sheetName val="Master_Input_Sheet_Start_Here2"/>
      <sheetName val="HBS_initial2"/>
      <sheetName val="Inputs_Sheet2"/>
      <sheetName val="Ввод_данных_Эл_22"/>
      <sheetName val="Ввод_данных_Эл__12"/>
      <sheetName val="Ввод_данных_Эл_32"/>
      <sheetName val="Ввод_данных_Эл_42"/>
      <sheetName val="Ввод_данных_Эл__52"/>
      <sheetName val="HIS_initial2"/>
      <sheetName val="Производство_электроэнергии2"/>
      <sheetName val="Т19_12"/>
      <sheetName val="Cost_Allocation2"/>
      <sheetName val="RAS_BS+2"/>
      <sheetName val="60_счет2"/>
      <sheetName val="незав__Домодедово2"/>
      <sheetName val="Предположения_КАС2"/>
      <sheetName val="Natl_Consult_Reg_2"/>
      <sheetName val="Balance_sheet2"/>
      <sheetName val="GLC_Market_Approach3"/>
      <sheetName val="Operating_Data3"/>
      <sheetName val="Read_me_first3"/>
      <sheetName val="Master_Inputs_Start_here3"/>
      <sheetName val="Ф1_АТЭЦ3"/>
      <sheetName val="Ф1_ЕТЭЦ3"/>
      <sheetName val="Ф1_НГРЭС3"/>
      <sheetName val="Ф1_ПТЭЦ3"/>
      <sheetName val="Ф1_ЩГРЭС3"/>
      <sheetName val="Ф_2_АТЭЦ3"/>
      <sheetName val="Ф2_ЕТЭЦ3"/>
      <sheetName val="Ф_2_НГРЭС3"/>
      <sheetName val="Ф2_ПТЭЦ3"/>
      <sheetName val="Ф_2_ЩГРЭС3"/>
      <sheetName val="Ввод_данных_ЩГРЭС3"/>
      <sheetName val="Ввод_общих_данных3"/>
      <sheetName val="Расчет_тарифов_и_выручки3"/>
      <sheetName val="Master_Input_Sheet_Start_Here3"/>
      <sheetName val="HBS_initial3"/>
      <sheetName val="Inputs_Sheet3"/>
      <sheetName val="Ввод_данных_Эл_23"/>
      <sheetName val="Ввод_данных_Эл__13"/>
      <sheetName val="Ввод_данных_Эл_33"/>
      <sheetName val="Ввод_данных_Эл_43"/>
      <sheetName val="Ввод_данных_Эл__53"/>
      <sheetName val="HIS_initial3"/>
      <sheetName val="Производство_электроэнергии3"/>
      <sheetName val="Т19_13"/>
      <sheetName val="Cost_Allocation3"/>
      <sheetName val="RAS_BS+3"/>
      <sheetName val="60_счет3"/>
      <sheetName val="незав__Домодедово3"/>
      <sheetName val="Предположения_КАС3"/>
      <sheetName val="Natl_Consult_Reg_3"/>
      <sheetName val="Balance_sheet3"/>
      <sheetName val="GLC_Market_Approach4"/>
      <sheetName val="Operating_Data4"/>
      <sheetName val="Read_me_first4"/>
      <sheetName val="Master_Inputs_Start_here4"/>
      <sheetName val="Ф1_АТЭЦ4"/>
      <sheetName val="Ф1_ЕТЭЦ4"/>
      <sheetName val="Ф1_НГРЭС4"/>
      <sheetName val="Ф1_ПТЭЦ4"/>
      <sheetName val="Ф1_ЩГРЭС4"/>
      <sheetName val="Ф_2_АТЭЦ4"/>
      <sheetName val="Ф2_ЕТЭЦ4"/>
      <sheetName val="Ф_2_НГРЭС4"/>
      <sheetName val="Ф2_ПТЭЦ4"/>
      <sheetName val="Ф_2_ЩГРЭС4"/>
      <sheetName val="Ввод_данных_ЩГРЭС4"/>
      <sheetName val="Ввод_общих_данных4"/>
      <sheetName val="Расчет_тарифов_и_выручки4"/>
      <sheetName val="Master_Input_Sheet_Start_Here4"/>
      <sheetName val="HBS_initial4"/>
      <sheetName val="Inputs_Sheet4"/>
      <sheetName val="Ввод_данных_Эл_24"/>
      <sheetName val="Ввод_данных_Эл__14"/>
      <sheetName val="Ввод_данных_Эл_34"/>
      <sheetName val="Ввод_данных_Эл_44"/>
      <sheetName val="Ввод_данных_Эл__54"/>
      <sheetName val="HIS_initial4"/>
      <sheetName val="Производство_электроэнергии4"/>
      <sheetName val="Т19_14"/>
      <sheetName val="Cost_Allocation4"/>
      <sheetName val="RAS_BS+4"/>
      <sheetName val="60_счет4"/>
      <sheetName val="незав__Домодедово4"/>
      <sheetName val="Предположения_КАС4"/>
      <sheetName val="Natl_Consult_Reg_4"/>
      <sheetName val="Balance_sheet4"/>
      <sheetName val="Общие"/>
      <sheetName val="списки госконтрактов"/>
      <sheetName val="Списки контрактов"/>
      <sheetName val="Затраты"/>
      <sheetName val="Groupings"/>
      <sheetName val="Список"/>
      <sheetName val="Дебиторы"/>
      <sheetName val="#ССЫЛКА"/>
      <sheetName val="Закупки"/>
      <sheetName val="Top Sheet"/>
      <sheetName val="Sheet3"/>
      <sheetName val="БДР"/>
      <sheetName val="показатели"/>
      <sheetName val="4"/>
      <sheetName val="Незав.пр-во "/>
      <sheetName val="Лист2"/>
      <sheetName val="assump"/>
      <sheetName val="Ini"/>
      <sheetName val="факт"/>
      <sheetName val=""/>
      <sheetName val="PROJECT"/>
      <sheetName val="Assumptions and Inputs"/>
      <sheetName val="Sampling Parameters"/>
      <sheetName val="Word lists"/>
      <sheetName val="SSF tables"/>
      <sheetName val="Main"/>
      <sheetName val="Related party"/>
      <sheetName val="Справочник для ПП "/>
      <sheetName val="s"/>
      <sheetName val="Б_Г"/>
      <sheetName val="Бюджет"/>
      <sheetName val="Proforma_2010"/>
      <sheetName val="Inventories"/>
      <sheetName val="POW"/>
      <sheetName val="Summary"/>
      <sheetName val="Статьи ДДС ОИКС"/>
      <sheetName val="Tep"/>
      <sheetName val="ТТЗ опт"/>
      <sheetName val="Дата"/>
      <sheetName val="proforma"/>
      <sheetName val="EMBI"/>
      <sheetName val="Israel (TASE&amp;NASDAQ)"/>
      <sheetName val="продажи (н)"/>
      <sheetName val="справочник для НС "/>
      <sheetName val="Лист7"/>
      <sheetName val="list"/>
      <sheetName val="Dropdown"/>
      <sheetName val="Calc"/>
      <sheetName val="Б1190-2"/>
      <sheetName val="Б1190-3"/>
      <sheetName val="Б1190"/>
      <sheetName val="Summary of Value"/>
      <sheetName val="Cash Flows"/>
      <sheetName val="InputTD"/>
      <sheetName val="Excav. Prod"/>
      <sheetName val="Rainfall"/>
      <sheetName val="Equip HR"/>
      <sheetName val="Travel &amp; Fuel"/>
      <sheetName val="B-4"/>
      <sheetName val="Спр"/>
      <sheetName val="Indices"/>
      <sheetName val="Top_Sheet"/>
      <sheetName val="Sampling_Parameters"/>
      <sheetName val="Word_lists"/>
      <sheetName val="SSF_tables"/>
      <sheetName val="Audit_Results"/>
      <sheetName val="Audit_Results_Upper_Stratum"/>
      <sheetName val="Population_Characteristics"/>
      <sheetName val="Related_party"/>
      <sheetName val="2.Продажа квартир"/>
      <sheetName val="ОС"/>
      <sheetName val="ОД"/>
      <sheetName val="Корр_прочие ар"/>
      <sheetName val="GLC_Market_Approach5"/>
      <sheetName val="Operating_Data5"/>
      <sheetName val="Read_me_first5"/>
      <sheetName val="Master_Inputs_Start_here5"/>
      <sheetName val="Ф1_АТЭЦ5"/>
      <sheetName val="Ф1_ЕТЭЦ5"/>
      <sheetName val="Ф1_НГРЭС5"/>
      <sheetName val="Ф1_ПТЭЦ5"/>
      <sheetName val="Ф1_ЩГРЭС5"/>
      <sheetName val="Ф_2_АТЭЦ5"/>
      <sheetName val="Ф2_ЕТЭЦ5"/>
      <sheetName val="Ф_2_НГРЭС5"/>
      <sheetName val="Ф2_ПТЭЦ5"/>
      <sheetName val="Ф_2_ЩГРЭС5"/>
      <sheetName val="Ввод_данных_ЩГРЭС5"/>
      <sheetName val="Ввод_общих_данных5"/>
      <sheetName val="Расчет_тарифов_и_выручки5"/>
      <sheetName val="Master_Input_Sheet_Start_Here5"/>
      <sheetName val="HBS_initial5"/>
      <sheetName val="Inputs_Sheet5"/>
      <sheetName val="Ввод_данных_Эл_25"/>
      <sheetName val="Ввод_данных_Эл__15"/>
      <sheetName val="Ввод_данных_Эл_35"/>
      <sheetName val="Ввод_данных_Эл_45"/>
      <sheetName val="Ввод_данных_Эл__55"/>
      <sheetName val="HIS_initial5"/>
      <sheetName val="Производство_электроэнергии5"/>
      <sheetName val="Т19_15"/>
      <sheetName val="Cost_Allocation5"/>
      <sheetName val="Предположения_КАС5"/>
      <sheetName val="60_счет5"/>
      <sheetName val="незав__Домодедово5"/>
      <sheetName val="RAS_BS+5"/>
      <sheetName val="Natl_Consult_Reg_5"/>
      <sheetName val="Balance_sheet5"/>
      <sheetName val="Баланс_ээ"/>
      <sheetName val="Баланс_мощности"/>
      <sheetName val="Рег_генер"/>
      <sheetName val="Income_Statement"/>
      <sheetName val="1a__Beta_extract"/>
      <sheetName val="+5610_04"/>
      <sheetName val="в_тенге"/>
      <sheetName val="7_1"/>
      <sheetName val="6НК-cт_"/>
      <sheetName val="Macroeconomic_Assumptions"/>
      <sheetName val="Фин_вложения"/>
      <sheetName val="ТТЗ_опт"/>
      <sheetName val="списки_госконтрактов"/>
      <sheetName val="Списки_контрактов"/>
      <sheetName val="Справочник_для_ПП_"/>
      <sheetName val="сравнение_по_удаленности"/>
      <sheetName val="СРАВН_47"/>
      <sheetName val="Незав_пр-во_"/>
      <sheetName val="Assumptions_and_Inputs"/>
      <sheetName val="a3.100.2_bs"/>
      <sheetName val="a3.100.3_p&amp;l"/>
      <sheetName val="a.3.100.1_ts"/>
      <sheetName val="a3.100.4_transformation_aje"/>
      <sheetName val="Итог по НПО "/>
      <sheetName val="Services Cover"/>
      <sheetName val="Assumption"/>
      <sheetName val="PPA AA"/>
      <sheetName val="Lists"/>
      <sheetName val="ДЗО-6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Var"/>
      <sheetName val="DD&amp;A"/>
      <sheetName val="Support"/>
      <sheetName val="з.ч на рем.обор."/>
      <sheetName val="Стригин"/>
      <sheetName val="IAS Trial Balance"/>
      <sheetName val="DICTS"/>
      <sheetName val="Обложка"/>
      <sheetName val="kpi 1"/>
      <sheetName val="kpi 2"/>
      <sheetName val="Input TI"/>
      <sheetName val="ТС"/>
      <sheetName val="ГРЭС"/>
      <sheetName val="ТЭЦ"/>
      <sheetName val="ТЭЦ_К"/>
      <sheetName val="Subfed SpB"/>
      <sheetName val="SENSITIVITY"/>
      <sheetName val="расход"/>
      <sheetName val="bs"/>
      <sheetName val="is_with_intl"/>
      <sheetName val="TB"/>
      <sheetName val="служебный"/>
      <sheetName val="FCF"/>
      <sheetName val="Schedules"/>
      <sheetName val="for word5"/>
      <sheetName val="фин. показатели"/>
      <sheetName val="осн. ср-ва"/>
      <sheetName val="вых. данные за 1 год"/>
      <sheetName val="вых. данные по годам"/>
      <sheetName val="Proj. Bal."/>
      <sheetName val="Ratios"/>
      <sheetName val="for word3"/>
      <sheetName val="оборот. кап.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Расшифровка Дт к комитету"/>
      <sheetName val="ДляПрезентации (30.06.20)"/>
      <sheetName val="Списки и формулы"/>
      <sheetName val="баланс"/>
      <sheetName val="shtLookup"/>
      <sheetName val="Лимиты"/>
      <sheetName val="Таблица"/>
      <sheetName val="Сводный-затраты"/>
      <sheetName val="Global Assumptions"/>
      <sheetName val="стр_145_рос__исп1"/>
      <sheetName val="Proforma_20101"/>
      <sheetName val="finansal tamamlanma eğrisi"/>
      <sheetName val="cus_HK1033"/>
      <sheetName val="title"/>
      <sheetName val="SR3"/>
      <sheetName val="sov tot"/>
      <sheetName val="PRC bank"/>
      <sheetName val="ЗУ_2015"/>
      <sheetName val="13 NGDO"/>
      <sheetName val="Deviation"/>
      <sheetName val="Сoefficients"/>
      <sheetName val="Лист3"/>
      <sheetName val="Prelim Cost"/>
      <sheetName val="Округа"/>
      <sheetName val="Ставка Д"/>
      <sheetName val="Начало"/>
      <sheetName val="Движение по месяцам"/>
      <sheetName val="Средняя стоимость"/>
      <sheetName val="Цеховые"/>
      <sheetName val="1.401.2"/>
      <sheetName val="Style Summary"/>
      <sheetName val="Link"/>
      <sheetName val="Продажи реальные и прогноз 20 л"/>
      <sheetName val="Компенсация2"/>
      <sheetName val="tickmarks"/>
      <sheetName val="ex-rates"/>
      <sheetName val="NB_Tariffs"/>
      <sheetName val="Разницы КЗ"/>
      <sheetName val="КЗ"/>
      <sheetName val="Передано в аренду 2019"/>
      <sheetName val="O-120"/>
      <sheetName val="O-110"/>
      <sheetName val="GLCratiosJun"/>
      <sheetName val="cash flow"/>
      <sheetName val="B03"/>
      <sheetName val="tpd costs"/>
      <sheetName val="pasiva-skutečnost"/>
      <sheetName val="pasiva-skute?nost"/>
      <sheetName val="n-10"/>
      <sheetName val="Объем"/>
      <sheetName val="Terminal Value"/>
      <sheetName val="can doi - ket qua"/>
      <sheetName val="Table"/>
      <sheetName val="Информация"/>
      <sheetName val="akt"/>
      <sheetName val="ICPs"/>
      <sheetName val="Lookup"/>
      <sheetName val="Control_Admin"/>
      <sheetName val="Req"/>
      <sheetName val="Levels"/>
      <sheetName val="Ф.2"/>
      <sheetName val="ДЗ и КЗ обороты с ДЗО"/>
      <sheetName val="Ф.4"/>
      <sheetName val="исходники"/>
      <sheetName val="ф2"/>
      <sheetName val="Database (RUR)Mar YTD"/>
      <sheetName val="итог"/>
      <sheetName val="СМР"/>
      <sheetName val="CamKum Prod"/>
      <sheetName val="Акты_дебиторов2"/>
      <sheetName val="Assumpt_2"/>
      <sheetName val="FX_Adjustment2"/>
      <sheetName val="стр_145_рос__исп2"/>
      <sheetName val="Location_(Naming)2"/>
      <sheetName val="Location_Handling2"/>
      <sheetName val="ProductBundle_(Naming)2"/>
      <sheetName val="Location_Cap2"/>
      <sheetName val="ProcessMode_Coefficients2"/>
      <sheetName val="Share_Price_20022"/>
      <sheetName val="6_Продажа_квартир2"/>
      <sheetName val="3_ЗАТРАТЫ2"/>
      <sheetName val="Аренда_Торговля2"/>
      <sheetName val="Аренда_СТО2"/>
      <sheetName val="ДП_пессимист_2"/>
      <sheetName val="общие_сведения2"/>
      <sheetName val="Метод_остатка2"/>
      <sheetName val="график01_09_022"/>
      <sheetName val="1_ИСХ_2"/>
      <sheetName val="исх_12"/>
      <sheetName val="график_строительства2"/>
      <sheetName val="9_ДП2"/>
      <sheetName val="Сведение_объект2"/>
      <sheetName val="общие_данные2"/>
      <sheetName val="14_ДП2"/>
      <sheetName val="7_ЗУ_ГУИОН!2"/>
      <sheetName val="Ф1_Актив_1-22"/>
      <sheetName val="стр-во_склад2"/>
      <sheetName val="Статьи_БДДС2"/>
      <sheetName val="Аналог_22"/>
      <sheetName val="Акты_дебиторов1"/>
      <sheetName val="Assumpt_1"/>
      <sheetName val="FX_Adjustment1"/>
      <sheetName val="Location_(Naming)1"/>
      <sheetName val="Location_Handling1"/>
      <sheetName val="ProductBundle_(Naming)1"/>
      <sheetName val="Location_Cap1"/>
      <sheetName val="ProcessMode_Coefficients1"/>
      <sheetName val="Share_Price_20021"/>
      <sheetName val="6_Продажа_квартир1"/>
      <sheetName val="3_ЗАТРАТЫ1"/>
      <sheetName val="Аренда_Торговля1"/>
      <sheetName val="Аренда_СТО1"/>
      <sheetName val="ДП_пессимист_1"/>
      <sheetName val="общие_сведения1"/>
      <sheetName val="Метод_остатка1"/>
      <sheetName val="график01_09_021"/>
      <sheetName val="1_ИСХ_1"/>
      <sheetName val="исх_11"/>
      <sheetName val="график_строительства1"/>
      <sheetName val="9_ДП1"/>
      <sheetName val="Сведение_объект1"/>
      <sheetName val="общие_данные1"/>
      <sheetName val="14_ДП1"/>
      <sheetName val="7_ЗУ_ГУИОН!1"/>
      <sheetName val="Ф1_Актив_1-21"/>
      <sheetName val="стр-во_склад1"/>
      <sheetName val="Статьи_БДДС1"/>
      <sheetName val="Аналог_21"/>
      <sheetName val="цены пок.хим."/>
      <sheetName val="список данных"/>
      <sheetName val="Баланс_ээ1"/>
      <sheetName val="Баланс_мощности1"/>
      <sheetName val="Рег_генер1"/>
      <sheetName val="Бюджет годовой"/>
      <sheetName val="1_ИСХ1"/>
      <sheetName val="документы_Кириши1"/>
      <sheetName val="UNIT RATES"/>
      <sheetName val="Bill1 IKEA"/>
      <sheetName val="Bill10 Delivery zone "/>
      <sheetName val="Bill11 Tech.Prem.Roof"/>
      <sheetName val="Bill12 UC Mall "/>
      <sheetName val="Bill13 Complex Roof "/>
      <sheetName val="Bill14 Restaurant square"/>
      <sheetName val="Bill15 Sport area"/>
      <sheetName val="Bill16 Open Parking "/>
      <sheetName val="Bill17 Tech. Building"/>
      <sheetName val="Bill18 Landscape&amp;roads"/>
      <sheetName val="Bill19 On-Site Utilities"/>
      <sheetName val="Bill1A IKEA Integration"/>
      <sheetName val="Bill2 IKEA UC"/>
      <sheetName val="Bill3 Mall Str."/>
      <sheetName val="Bill4 Mall fit-out"/>
      <sheetName val="Bill5 Hypermarket  "/>
      <sheetName val="Bill6 Cinema  "/>
      <sheetName val="Bill7 Restaurant area"/>
      <sheetName val="Bill8 Del. Tunnels"/>
      <sheetName val="Bill9 Discovery center"/>
      <sheetName val="Beton Maliyet Analizi"/>
      <sheetName val="Период"/>
      <sheetName val="Petty Cash"/>
      <sheetName val="стоимость скважин"/>
      <sheetName val="мат.по скв."/>
      <sheetName val="dep"/>
      <sheetName val="оборуд_1"/>
      <sheetName val="MC-1"/>
      <sheetName val="DCF Assumptions"/>
      <sheetName val="PV Calcs"/>
      <sheetName val="К3. Анализ длительн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/>
      <sheetData sheetId="811"/>
      <sheetData sheetId="812"/>
      <sheetData sheetId="813" refreshError="1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</row>
        <row r="8">
          <cell r="B8">
            <v>77.400000000000006</v>
          </cell>
        </row>
        <row r="9">
          <cell r="B9">
            <v>134</v>
          </cell>
        </row>
        <row r="10">
          <cell r="B10">
            <v>426.2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>
        <row r="9">
          <cell r="I9">
            <v>1930293.0755998902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system analysis"/>
      <sheetName val="KEY"/>
      <sheetName val="Value"/>
      <sheetName val="Assumptions"/>
      <sheetName val="Projections"/>
      <sheetName val="КОРдатапредл"/>
      <sheetName val="Форма1"/>
      <sheetName val="Data for analysis"/>
      <sheetName val="Sched 11-ACTUALS"/>
      <sheetName val="Summary"/>
      <sheetName val="_"/>
      <sheetName val="CIP"/>
      <sheetName val="отгр ГОК"/>
      <sheetName val="Scenar"/>
      <sheetName val="Cost Allocation"/>
      <sheetName val="2002(v2)"/>
      <sheetName val="Цеховые"/>
      <sheetName val="оао09от"/>
      <sheetName val="Standard Inputs"/>
      <sheetName val="Adm"/>
      <sheetName val="Ф №10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Projn ParametersPP"/>
      <sheetName val="Indices"/>
      <sheetName val="СпрПред"/>
      <sheetName val="Титул"/>
      <sheetName val="Баланс"/>
      <sheetName val="Ф2"/>
      <sheetName val="Ф5"/>
      <sheetName val="Ф6"/>
      <sheetName val="Ф4"/>
      <sheetName val="Корректирующие Таблицы"/>
      <sheetName val="Курс"/>
      <sheetName val="Служебный"/>
      <sheetName val="Корр_сост"/>
      <sheetName val="ИнвестицииСвод"/>
      <sheetName val="Лист3"/>
      <sheetName val="точн2"/>
      <sheetName val="Input_Assumptions"/>
      <sheetName val="Сдача "/>
      <sheetName val="МБП"/>
      <sheetName val="DATA"/>
      <sheetName val="Indizes"/>
      <sheetName val="сметы СКО 3кв03г."/>
      <sheetName val="Списки"/>
      <sheetName val="Исходные данные, курс $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PL_matrice"/>
      <sheetName val="Module1"/>
      <sheetName val="Plan"/>
      <sheetName val="Base"/>
      <sheetName val="Totaux"/>
      <sheetName val="Apercu"/>
      <sheetName val="Tables"/>
      <sheetName val="Consul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Имущество"/>
      <sheetName val="Сводная"/>
      <sheetName val="ЛП"/>
      <sheetName val="Statements"/>
      <sheetName val="Клиенту график"/>
      <sheetName val="Сопоставление"/>
      <sheetName val="Банку График"/>
      <sheetName val="Поставщику график"/>
      <sheetName val="экономическая эффективность"/>
      <sheetName val="ДЛЯ замечаний"/>
      <sheetName val="График Поступления в Ко"/>
      <sheetName val="Поток"/>
      <sheetName val="Имуществао в залог"/>
      <sheetName val="Банку 1"/>
      <sheetName val="Банку 2"/>
    </sheetNames>
    <sheetDataSet>
      <sheetData sheetId="0">
        <row r="19">
          <cell r="D19">
            <v>115052400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PLEASE READ"/>
      <sheetName val="Title"/>
      <sheetName val="Contents"/>
      <sheetName val="Currency"/>
      <sheetName val="Input"/>
      <sheetName val="Output Spec Pharma"/>
      <sheetName val="Output EU Spec Pharma"/>
      <sheetName val="Profile"/>
      <sheetName val="Profitability - rating"/>
      <sheetName val="Output Universe"/>
      <sheetName val="Output US Spec Pharma"/>
      <sheetName val="Output East Euro Spec Pharma"/>
      <sheetName val="cus_HK1033"/>
      <sheetName val="Данные"/>
      <sheetName val="GEN_INFO"/>
      <sheetName val="CHART_IAS"/>
      <sheetName val="СМЕТА"/>
      <sheetName val="Тариф на транзит"/>
      <sheetName val="Read me first"/>
      <sheetName val="GLC_ratios_Ju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_IN"/>
      <sheetName val="F1_INVES"/>
      <sheetName val="F1_SPRAV"/>
      <sheetName val="Справка об инв вложениях ППФЛА"/>
      <sheetName val="Currency"/>
      <sheetName val="Scenar"/>
      <sheetName val="Assumptions"/>
      <sheetName val="AccReport"/>
      <sheetName val="Supporting Schedule"/>
      <sheetName val="Multiples"/>
      <sheetName val="Balance Sheet"/>
      <sheetName val="Income Statement"/>
      <sheetName val="MACRO"/>
      <sheetName val="SENSITIVITY"/>
      <sheetName val="Расчет"/>
      <sheetName val="Проект"/>
      <sheetName val="Manager"/>
    </sheetNames>
    <sheetDataSet>
      <sheetData sheetId="0" refreshError="1"/>
      <sheetData sheetId="1"/>
      <sheetData sheetId="2" refreshError="1">
        <row r="3">
          <cell r="B3" t="str">
            <v xml:space="preserve">0003-45047743 </v>
          </cell>
        </row>
        <row r="4">
          <cell r="B4" t="str">
            <v>5 Октября 1996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ред. задолж."/>
      <sheetName val="Авансы выданные"/>
      <sheetName val="аванс по ОС"/>
      <sheetName val="Прочие"/>
      <sheetName val="платежи"/>
      <sheetName val="движение дс"/>
      <sheetName val="РЗ"/>
      <sheetName val="т(к)"/>
      <sheetName val="Выбытия"/>
      <sheetName val="Центр НПК"/>
      <sheetName val="оборотка (свекла)"/>
      <sheetName val="Товар в пути"/>
      <sheetName val="апрель ЗП"/>
      <sheetName val="БДДС"/>
      <sheetName val="DailySch"/>
      <sheetName val="ИСХ"/>
      <sheetName val="мероп. пр 6"/>
      <sheetName val="РСК-год"/>
      <sheetName val="Аналит з-ка"/>
      <sheetName val="PLтв - Б"/>
      <sheetName val="Сверка с компаниями"/>
      <sheetName val="Прочий товар"/>
      <sheetName val="оборот средства(год)"/>
      <sheetName val="13,40 Авансы_получ"/>
      <sheetName val="Кредиторская задолженность"/>
      <sheetName val="январь"/>
      <sheetName val="п"/>
      <sheetName val="PL"/>
      <sheetName val="ДЗ"/>
      <sheetName val="СКР"/>
      <sheetName val="ОС УК СС"/>
      <sheetName val="Книга1"/>
      <sheetName val="скорр"/>
      <sheetName val="Инв"/>
      <sheetName val="Книга2"/>
      <sheetName val="Хран сах "/>
      <sheetName val="БДДС год"/>
      <sheetName val="Хотмыжск"/>
      <sheetName val="Авансы_уплач,деньги в регионах"/>
      <sheetName val="Деб+ДС рег"/>
      <sheetName val="1.10"/>
      <sheetName val="аван получ "/>
      <sheetName val="1.14"/>
      <sheetName val="Аванс свекла"/>
      <sheetName val="БПУ"/>
      <sheetName val="12 кред ф баланс "/>
      <sheetName val="УК Производство"/>
      <sheetName val="т"/>
      <sheetName val="5"/>
      <sheetName val="товар"/>
      <sheetName val="предоплата"/>
      <sheetName val="3"/>
      <sheetName val="Резерв"/>
      <sheetName val="за месяц"/>
      <sheetName val="ЗКР"/>
      <sheetName val="титул"/>
      <sheetName val="Льгов"/>
      <sheetName val="Ав (закупка, услуги)"/>
      <sheetName val="Ав+фин влож"/>
      <sheetName val="12 креди баланс "/>
      <sheetName val="Хран св+м+ж"/>
      <sheetName val="Произв пок раст 3 "/>
      <sheetName val="#ССЫЛКА"/>
      <sheetName val="Поступления"/>
      <sheetName val="Выб"/>
      <sheetName val="2 деньги в пути"/>
      <sheetName val="P&amp;L"/>
      <sheetName val="янв"/>
      <sheetName val="БАЛАНС(большой)"/>
      <sheetName val="БДДС Крутьки"/>
      <sheetName val="Деньги"/>
      <sheetName val="Сдача произведен. прод."/>
      <sheetName val="Проч"/>
      <sheetName val="Баланс"/>
      <sheetName val="Пост"/>
      <sheetName val="ГСМ"/>
      <sheetName val="PL СКР"/>
      <sheetName val="сс"/>
      <sheetName val="Фин"/>
      <sheetName val="Кредитный портфель"/>
      <sheetName val="Авансы "/>
      <sheetName val="d_pok"/>
      <sheetName val="Акции"/>
      <sheetName val="Гр фин"/>
      <sheetName val="Лист 2"/>
      <sheetName val="ОДФР 2"/>
      <sheetName val="свод по Копм"/>
      <sheetName val="Кред"/>
      <sheetName val="б"/>
      <sheetName val="Начисл"/>
      <sheetName val="Производство"/>
      <sheetName val="Инвест.план к БДДС"/>
      <sheetName val="БАЛАНСПР2"/>
      <sheetName val="Изменения"/>
      <sheetName val="Инвестиции_1"/>
      <sheetName val="УК ЗКР"/>
      <sheetName val="Аналитика"/>
      <sheetName val="ОПИиУ"/>
      <sheetName val="БДДС (3)"/>
      <sheetName val="БДДС 3 декады"/>
      <sheetName val="Отгрузка"/>
      <sheetName val="Баланс ВЭД"/>
      <sheetName val="бюджет 2005"/>
      <sheetName val="PL new"/>
      <sheetName val="Вр"/>
      <sheetName val="Баланс3"/>
      <sheetName val="Balance Sheet"/>
      <sheetName val="1"/>
      <sheetName val=" БДДС"/>
      <sheetName val="MACRO"/>
      <sheetName val="Фин. вложения"/>
      <sheetName val="PL (2)"/>
      <sheetName val="Баланс-новый"/>
      <sheetName val="ПП"/>
      <sheetName val="Закупки"/>
      <sheetName val="Доходы"/>
      <sheetName val="Нормы_Свекла"/>
      <sheetName val="БДДС конс  руб "/>
      <sheetName val="БПУ ПР"/>
      <sheetName val="Себестоимость"/>
      <sheetName val="Выбытия  к БДДС"/>
      <sheetName val="Щигры"/>
      <sheetName val="Авансы_уплач,деньги в регионах,"/>
      <sheetName val="PLб"/>
      <sheetName val="д"/>
      <sheetName val="ежедневный лист заполнения"/>
      <sheetName val="Вр ф (2)"/>
      <sheetName val="Balance Sh+Indices"/>
      <sheetName val="Разнесение ОХР"/>
      <sheetName val="Кред- портф-РСК"/>
      <sheetName val="Прод_скота"/>
      <sheetName val="Исход инф"/>
      <sheetName val="Центр Агропрод"/>
      <sheetName val="Агропрод"/>
      <sheetName val="ц"/>
      <sheetName val="Год план"/>
      <sheetName val="Птицеводство"/>
      <sheetName val="приби уб"/>
      <sheetName val="на печать"/>
      <sheetName val="РСК-3мес"/>
      <sheetName val="справка"/>
      <sheetName val="Центр РЗ"/>
      <sheetName val="Свод по комп"/>
      <sheetName val="БДДС Агропрод"/>
      <sheetName val="свод "/>
      <sheetName val="исх.данные2004"/>
      <sheetName val="план"/>
      <sheetName val="2004"/>
      <sheetName val="2005"/>
      <sheetName val="Пок"/>
      <sheetName val="Комм"/>
      <sheetName val="АУР"/>
      <sheetName val="Нал"/>
      <sheetName val="ВРР"/>
      <sheetName val="БДР мес"/>
      <sheetName val="Комм расх"/>
      <sheetName val="Доп пок-ли"/>
      <sheetName val="Акции и ОС"/>
      <sheetName val="Комм расх опл"/>
      <sheetName val="Связь 0-я"/>
      <sheetName val="Деньги &quot;производство&quot;"/>
      <sheetName val="ДДС"/>
      <sheetName val="БДР"/>
      <sheetName val="Коммерческие расходы"/>
      <sheetName val="О"/>
      <sheetName val="4$"/>
      <sheetName val="2"/>
      <sheetName val="ц. р"/>
      <sheetName val="All"/>
      <sheetName val="АБ"/>
      <sheetName val="Sell"/>
      <sheetName val="СА"/>
      <sheetName val="МТС"/>
      <sheetName val="З"/>
      <sheetName val="Осн.Пок"/>
      <sheetName val="04"/>
      <sheetName val="PL_04"/>
      <sheetName val="Б_4"/>
      <sheetName val="ц.р."/>
      <sheetName val="акц"/>
      <sheetName val="Кред_ задолж_"/>
      <sheetName val="13_40 Авансы_получ"/>
      <sheetName val="Деб_ДС рег"/>
      <sheetName val="1_10"/>
      <sheetName val="1_14"/>
      <sheetName val="_ССЫЛКА"/>
      <sheetName val="Инвест_план к БДДС"/>
      <sheetName val="_БДДС"/>
      <sheetName val="Фин_ вложения"/>
      <sheetName val="PL _2_"/>
      <sheetName val="Баланс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январь)"/>
      <sheetName val="ноябрь03"/>
      <sheetName val="матер ДЕКАБРЬ"/>
      <sheetName val="декабрь03"/>
      <sheetName val="октябрь03"/>
      <sheetName val="сентябрь03"/>
      <sheetName val="август03"/>
      <sheetName val="июль03"/>
      <sheetName val="матер.(декабрь)"/>
      <sheetName val="матер.(октябрь)"/>
      <sheetName val="матер.(сентябрь)"/>
      <sheetName val="матер.(август)"/>
      <sheetName val="матер.(июль)"/>
      <sheetName val="смета"/>
      <sheetName val="матер__октябрь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Осн показ"/>
      <sheetName val="Произв-во"/>
      <sheetName val="Простои"/>
      <sheetName val="Простои (2)"/>
      <sheetName val="Простои (3)"/>
      <sheetName val="Простои (4)"/>
      <sheetName val="Экология"/>
      <sheetName val="Отгрузка"/>
      <sheetName val="Цены прод"/>
      <sheetName val="Запасы прод"/>
      <sheetName val="Факторы"/>
      <sheetName val="Поставки"/>
      <sheetName val="Цены рес"/>
      <sheetName val="Запасы рес"/>
      <sheetName val="Числ и ЗП"/>
      <sheetName val="Несчаст"/>
      <sheetName val="Бюджет"/>
      <sheetName val="Фин план"/>
      <sheetName val="Баланс"/>
      <sheetName val="Агр баланс"/>
      <sheetName val="Баланс 2"/>
      <sheetName val="Агр баланс 2"/>
      <sheetName val="Движ ДС"/>
      <sheetName val="Прибыль"/>
      <sheetName val="Показатели"/>
      <sheetName val="Об активы"/>
      <sheetName val="Кратк обяз"/>
      <sheetName val="Цикл"/>
      <sheetName val="Затраты"/>
      <sheetName val="Рентаб"/>
      <sheetName val="Элем затр"/>
    </sheetNames>
    <sheetDataSet>
      <sheetData sheetId="0">
        <row r="5">
          <cell r="A5" t="str">
            <v>ОАО "Котласский ЦБК"</v>
          </cell>
        </row>
        <row r="8">
          <cell r="A8" t="str">
            <v>ИЮЛЬ 2003 года</v>
          </cell>
        </row>
        <row r="15">
          <cell r="B15">
            <v>32.299999999999997</v>
          </cell>
        </row>
        <row r="16">
          <cell r="B16">
            <v>30.36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курс"/>
      <sheetName val="ЗАП"/>
      <sheetName val="земля"/>
      <sheetName val="ФИ"/>
      <sheetName val="СРАВНИТ"/>
      <sheetName val="ДП"/>
      <sheetName val="R"/>
      <sheetName val="Итог"/>
      <sheetName val="земля1"/>
      <sheetName val="СП_паркинг"/>
    </sheetNames>
    <sheetDataSet>
      <sheetData sheetId="0" refreshError="1"/>
      <sheetData sheetId="1" refreshError="1">
        <row r="4">
          <cell r="C4">
            <v>45.261800000000001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1"/>
      <sheetName val="Лист2"/>
      <sheetName val="Лист3"/>
    </sheetNames>
    <sheetDataSet>
      <sheetData sheetId="0" refreshError="1">
        <row r="3">
          <cell r="B3" t="str">
            <v>№</v>
          </cell>
          <cell r="D3" t="str">
            <v>Характеристика и описание (номер, дата, условия, срок действия)</v>
          </cell>
          <cell r="E3" t="str">
            <v>Примечания</v>
          </cell>
        </row>
        <row r="4">
          <cell r="C4" t="str">
            <v>Название и адрес  проекта</v>
          </cell>
          <cell r="D4" t="str">
            <v>Жилой 8 этажный дом с подземной парковкой г.Калининград ул.Маршала Баграмяна 14</v>
          </cell>
          <cell r="E4" t="str">
            <v>Указать в соотв. с распорядительными документами</v>
          </cell>
        </row>
        <row r="5">
          <cell r="C5" t="str">
            <v>Участники проекта</v>
          </cell>
        </row>
        <row r="6">
          <cell r="C6" t="str">
            <v>Заемщик</v>
          </cell>
          <cell r="D6" t="str">
            <v>ООО «Подорожник»</v>
          </cell>
          <cell r="E6" t="str">
            <v>Название организации, телефон, контактное лицо</v>
          </cell>
        </row>
        <row r="7">
          <cell r="C7" t="str">
            <v>Застройщик</v>
          </cell>
          <cell r="D7" t="str">
            <v>ООО «Подорожник»</v>
          </cell>
          <cell r="E7" t="str">
            <v>Название организации, телефон, контактное лицо</v>
          </cell>
        </row>
        <row r="8">
          <cell r="C8" t="str">
            <v>Технический Заказчик (Название/Договор/виды работ/срок выполнения/допуск СРО)</v>
          </cell>
          <cell r="D8" t="str">
            <v>ООО "Темп"</v>
          </cell>
          <cell r="E8" t="str">
            <v>Название организации, телефон, контактное лицо</v>
          </cell>
        </row>
        <row r="9">
          <cell r="C9" t="str">
            <v>Генпроектировщик (Название/Договор/виды работ/срок выполнения/допуск СРО)</v>
          </cell>
          <cell r="D9" t="str">
            <v>ООО «Регионпроект»</v>
          </cell>
          <cell r="E9" t="str">
            <v>Название организации, телефон, контактное лицо</v>
          </cell>
        </row>
        <row r="10">
          <cell r="C10" t="str">
            <v>Генподрядчик (Название/Договор/виды работ/срок выполнения/допуск СРО)</v>
          </cell>
          <cell r="D10" t="str">
            <v>ООО "Темп"</v>
          </cell>
          <cell r="E10" t="str">
            <v>Название организации, телефон, контактное лицо</v>
          </cell>
        </row>
        <row r="11">
          <cell r="B11">
            <v>1</v>
          </cell>
          <cell r="C11" t="str">
            <v>Документы по земельному участку, зданиям и сооружениям</v>
          </cell>
        </row>
        <row r="12">
          <cell r="C12" t="str">
            <v>Площадь земельного участка</v>
          </cell>
          <cell r="D12" t="str">
            <v>0,45 Га</v>
          </cell>
        </row>
        <row r="13">
          <cell r="C13" t="str">
            <v>собственность</v>
          </cell>
          <cell r="D13" t="str">
            <v xml:space="preserve"> - № 960567 серия 39-АА от 25.07.11г.</v>
          </cell>
          <cell r="E13" t="str">
            <v>№ документа, дата, кто собственник</v>
          </cell>
        </row>
        <row r="14">
          <cell r="C14" t="str">
            <v>аренда</v>
          </cell>
          <cell r="D14" t="str">
            <v>№39/10-всзу-160627 от 20.09.10</v>
          </cell>
          <cell r="E14" t="str">
            <v>№ договора,  дата выдачи, дата окончания, кто арендатор</v>
          </cell>
        </row>
        <row r="15">
          <cell r="C15" t="str">
            <v>категория/разрешенное использование</v>
          </cell>
          <cell r="D15" t="str">
            <v xml:space="preserve"> - строительство жилого дома</v>
          </cell>
        </row>
        <row r="16">
          <cell r="C16" t="str">
            <v>ограничения (обременения)</v>
          </cell>
          <cell r="D16" t="str">
            <v xml:space="preserve"> - нет</v>
          </cell>
          <cell r="E16" t="str">
            <v>Указанные в договоре аренды</v>
          </cell>
        </row>
        <row r="17">
          <cell r="C17" t="str">
            <v>Здания и сооружения (если участок не свободен)</v>
          </cell>
          <cell r="D17" t="str">
            <v>расселенный дом под разрушение</v>
          </cell>
          <cell r="E17" t="str">
            <v>находящиеся на зем. участке (перечислить, дать описание)</v>
          </cell>
        </row>
        <row r="18">
          <cell r="C18" t="str">
            <v>собственность</v>
          </cell>
          <cell r="D18" t="str">
            <v xml:space="preserve"> № 960567 серия 39-АА от 25.07.11г.</v>
          </cell>
          <cell r="E18" t="str">
            <v>№ документа, дата, кто собственник</v>
          </cell>
        </row>
        <row r="19">
          <cell r="C19" t="str">
            <v>Договор аренды (кто арендаторы)</v>
          </cell>
          <cell r="D19" t="str">
            <v>-</v>
          </cell>
          <cell r="E19" t="str">
            <v>№ договора,  дата выдачи, дата окончания, кто арендатор</v>
          </cell>
        </row>
        <row r="20">
          <cell r="B20" t="str">
            <v>2</v>
          </cell>
          <cell r="C20" t="str">
            <v>Распорядительные документы на строительство</v>
          </cell>
          <cell r="D20" t="str">
            <v>-</v>
          </cell>
        </row>
        <row r="21">
          <cell r="C21" t="str">
            <v>Постановление (распоряжения, решения)</v>
          </cell>
          <cell r="D21" t="str">
            <v>№ Ru 39301000-257 от 29.10.07</v>
          </cell>
          <cell r="E21" t="str">
            <v>№ документа, дата, наименование, стороны</v>
          </cell>
        </row>
        <row r="22">
          <cell r="C22" t="str">
            <v>Инвестиционный контракт (договор)</v>
          </cell>
          <cell r="D22" t="str">
            <v xml:space="preserve"> - </v>
          </cell>
          <cell r="E22" t="str">
            <v>№ документа, дата, наименование, стороны</v>
          </cell>
        </row>
        <row r="23">
          <cell r="C23" t="str">
            <v>Разрешение на строительство</v>
          </cell>
          <cell r="D23" t="str">
            <v>№ RU 39315000-291/2011 от 09.09.2011</v>
          </cell>
          <cell r="E23" t="str">
            <v>№ документа, дата, срок действия</v>
          </cell>
        </row>
        <row r="24">
          <cell r="B24" t="str">
            <v>3</v>
          </cell>
          <cell r="C24" t="str">
            <v>Основные параметры по Распорядительным документам</v>
          </cell>
        </row>
        <row r="25">
          <cell r="C25" t="str">
            <v>Срок реализации проекта</v>
          </cell>
          <cell r="D25" t="str">
            <v>12 мес.</v>
          </cell>
          <cell r="E25" t="str">
            <v>Указать дату окончания строительства</v>
          </cell>
        </row>
        <row r="26">
          <cell r="C26" t="str">
            <v>Технико-экономические показатели (указанные в распорядительном документе)</v>
          </cell>
          <cell r="D26" t="str">
            <v>площадь зем.участка 0,4586 га; количество этажей – 7,8,9 этажей;строит. объем – 32665 м3; общая площадь здания – 9132 м2</v>
          </cell>
        </row>
        <row r="27">
          <cell r="C27" t="str">
            <v>Финансирование строительства</v>
          </cell>
          <cell r="E27" t="str">
            <v>Кто осуществляет и в каком объеме</v>
          </cell>
        </row>
        <row r="28">
          <cell r="C28" t="str">
            <v>Обременения: финансовые и имущественные обязательства по Инвест. контракту и др. договорам</v>
          </cell>
          <cell r="E28" t="str">
            <v>Площади, передаваемые городу, денежные платежи,  другие обременения по ИК, и т.п.</v>
          </cell>
        </row>
        <row r="29">
          <cell r="C29" t="str">
            <v>Распределение площадей, в т.ч.</v>
          </cell>
        </row>
        <row r="30">
          <cell r="C30" t="str">
            <v xml:space="preserve">            - жилая         - доля Застройщика</v>
          </cell>
          <cell r="D30" t="str">
            <v>-</v>
          </cell>
          <cell r="E30" t="str">
            <v>Указать распределение долей в м2</v>
          </cell>
        </row>
        <row r="31">
          <cell r="C31" t="str">
            <v xml:space="preserve">                                     - доля Города</v>
          </cell>
          <cell r="D31" t="str">
            <v>-</v>
          </cell>
        </row>
        <row r="32">
          <cell r="C32" t="str">
            <v xml:space="preserve">            - нежилая     - доля Застройщика</v>
          </cell>
          <cell r="D32" t="str">
            <v>-</v>
          </cell>
          <cell r="E32" t="str">
            <v>Указать распределение долей в м2</v>
          </cell>
        </row>
        <row r="33">
          <cell r="C33" t="str">
            <v xml:space="preserve">                                     - доля Города</v>
          </cell>
          <cell r="D33" t="str">
            <v>-</v>
          </cell>
        </row>
        <row r="34">
          <cell r="C34" t="str">
            <v xml:space="preserve">            - автостоянка    -доля Застройщика</v>
          </cell>
          <cell r="D34" t="str">
            <v>-</v>
          </cell>
          <cell r="E34" t="str">
            <v>Указать распределение машиномест, шт.</v>
          </cell>
        </row>
        <row r="35">
          <cell r="C35" t="str">
            <v xml:space="preserve">                                           -доля Города</v>
          </cell>
          <cell r="D35" t="str">
            <v>-</v>
          </cell>
        </row>
        <row r="36">
          <cell r="B36" t="str">
            <v>4</v>
          </cell>
          <cell r="C36" t="str">
            <v>Проектно-сметная документация (ПСД) и Технические условия на подключение к городским инженерным сетям (ТУ).</v>
          </cell>
        </row>
        <row r="37">
          <cell r="C37" t="str">
            <v>Градплан (АРИ, ИРД, АПЗ)</v>
          </cell>
          <cell r="D37" t="str">
            <v>РУ 39301000-2485 от 31.03.11</v>
          </cell>
          <cell r="E37" t="str">
            <v>№ ,  дата выдачи</v>
          </cell>
        </row>
        <row r="38">
          <cell r="C38" t="str">
            <v>Заключение Госэкспертизы</v>
          </cell>
          <cell r="D38" t="str">
            <v>39-1-4-0204-11 от 25.08.11</v>
          </cell>
          <cell r="E38" t="str">
            <v>№ ,  дата выдачи</v>
          </cell>
        </row>
        <row r="39">
          <cell r="C39" t="str">
            <v>Утверждение проекта (РЗМ, приказ)</v>
          </cell>
          <cell r="D39" t="str">
            <v>проект в целом не утвержден</v>
          </cell>
          <cell r="E39" t="str">
            <v>№ ,  дата выдачи</v>
          </cell>
        </row>
        <row r="40">
          <cell r="C40" t="str">
            <v xml:space="preserve">Технические условия на подключение к городским инженерным сетям: </v>
          </cell>
        </row>
        <row r="41">
          <cell r="C41" t="str">
            <v xml:space="preserve">            - Электроснабжение</v>
          </cell>
          <cell r="D41" t="str">
            <v>№1460/10 от 22.11.10</v>
          </cell>
          <cell r="E41" t="str">
            <v>№ ТУ,  дата выдачи, дата окончания</v>
          </cell>
        </row>
        <row r="42">
          <cell r="C42" t="str">
            <v xml:space="preserve">            - Водоснабжение</v>
          </cell>
          <cell r="D42" t="str">
            <v>№ ту-970 от 23.08.10</v>
          </cell>
          <cell r="E42" t="str">
            <v>№ ТУ,  дата выдачи, дата окончания</v>
          </cell>
        </row>
        <row r="43">
          <cell r="C43" t="str">
            <v xml:space="preserve">            - Канализование</v>
          </cell>
          <cell r="D43" t="str">
            <v>№ ту-970 от 23.08.10</v>
          </cell>
          <cell r="E43" t="str">
            <v>№ ТУ,  дата выдачи, дата окончания</v>
          </cell>
        </row>
        <row r="44">
          <cell r="C44" t="str">
            <v xml:space="preserve">            - Ливневая канализация</v>
          </cell>
          <cell r="D44" t="str">
            <v>№ 181 от 23.03.11</v>
          </cell>
          <cell r="E44" t="str">
            <v>№ ТУ,  дата выдачи, дата окончания</v>
          </cell>
        </row>
        <row r="45">
          <cell r="C45" t="str">
            <v xml:space="preserve">            - Теплоснабжение</v>
          </cell>
          <cell r="D45" t="str">
            <v>№ 2339 от 07.06.07</v>
          </cell>
          <cell r="E45" t="str">
            <v>№ ТУ,  дата выдачи, дата окончания</v>
          </cell>
        </row>
        <row r="46">
          <cell r="C46" t="str">
            <v xml:space="preserve">                           (крышная котельная если есть)</v>
          </cell>
          <cell r="D46" t="str">
            <v>нет</v>
          </cell>
        </row>
        <row r="47">
          <cell r="C47" t="str">
            <v xml:space="preserve">            - Газоснабжение</v>
          </cell>
          <cell r="D47" t="str">
            <v>№ 23-м от 10.02.11</v>
          </cell>
          <cell r="E47" t="str">
            <v>№ ТУ,  дата выдачи, дата окончания</v>
          </cell>
        </row>
        <row r="48">
          <cell r="B48" t="str">
            <v>5</v>
          </cell>
          <cell r="C48" t="str">
            <v>Основные параметры по ПСД</v>
          </cell>
        </row>
        <row r="49">
          <cell r="C49" t="str">
            <v>Краткое описание здания</v>
          </cell>
          <cell r="D49" t="str">
            <v>Этажность объекта – 8 этажей, в т.ч. 1 – под подземных паркинг и 1 – под офисные помещения. На каждом этаже планируется по 16 квартир.</v>
          </cell>
          <cell r="E49" t="str">
            <v>Этажность, кол. секций,  вид ф-тов, конструкции перекрытий, стен наруж., стен внутр.</v>
          </cell>
        </row>
        <row r="50">
          <cell r="C50" t="str">
            <v>площадь участка (га)</v>
          </cell>
          <cell r="D50" t="str">
            <v>0,45 Га</v>
          </cell>
        </row>
        <row r="51">
          <cell r="C51" t="str">
            <v>площадь застройки (кв.м.)</v>
          </cell>
          <cell r="D51">
            <v>1665.7</v>
          </cell>
        </row>
        <row r="52">
          <cell r="C52" t="str">
            <v>этажность общая</v>
          </cell>
          <cell r="D52">
            <v>8</v>
          </cell>
        </row>
        <row r="53">
          <cell r="C53" t="str">
            <v>в т.ч.             - надземная</v>
          </cell>
          <cell r="D53">
            <v>7</v>
          </cell>
        </row>
        <row r="54">
          <cell r="C54" t="str">
            <v xml:space="preserve">                      - подземная</v>
          </cell>
          <cell r="D54">
            <v>1</v>
          </cell>
        </row>
        <row r="55">
          <cell r="C55" t="str">
            <v>общая площадь здания (кв.м.)</v>
          </cell>
          <cell r="D55">
            <v>9139</v>
          </cell>
        </row>
        <row r="56">
          <cell r="C56" t="str">
            <v>в т.ч.             - надземная</v>
          </cell>
          <cell r="D56">
            <v>8458</v>
          </cell>
        </row>
        <row r="57">
          <cell r="C57" t="str">
            <v xml:space="preserve">                      - подземная</v>
          </cell>
          <cell r="D57">
            <v>682</v>
          </cell>
          <cell r="E57" t="str">
            <v>Общая площадь нежилых помещений - 963 м2</v>
          </cell>
        </row>
        <row r="58">
          <cell r="C58" t="str">
            <v>Количество квартир, шт.</v>
          </cell>
          <cell r="D58">
            <v>96</v>
          </cell>
        </row>
        <row r="59">
          <cell r="C59" t="str">
            <v>Площадь квартир</v>
          </cell>
          <cell r="D59">
            <v>5193</v>
          </cell>
        </row>
        <row r="60">
          <cell r="C60" t="str">
            <v xml:space="preserve">Площадь нежилых помещений </v>
          </cell>
          <cell r="D60">
            <v>3265</v>
          </cell>
          <cell r="E60">
            <v>2384</v>
          </cell>
        </row>
        <row r="61">
          <cell r="C61" t="str">
            <v>количество маш-мест/площадь автостоянки</v>
          </cell>
          <cell r="D61" t="str">
            <v>50/682</v>
          </cell>
        </row>
        <row r="62">
          <cell r="B62" t="str">
            <v>6</v>
          </cell>
          <cell r="C62" t="str">
            <v>Строительно-монтажные работы</v>
          </cell>
        </row>
        <row r="63">
          <cell r="C63" t="str">
            <v>График производства работ</v>
          </cell>
          <cell r="D63" t="str">
            <v>01.10.2011-30.10.2012</v>
          </cell>
          <cell r="E63" t="str">
            <v>Указать Календарные сроки строительства</v>
          </cell>
        </row>
        <row r="64">
          <cell r="C64" t="str">
            <v>График финансирования работ</v>
          </cell>
          <cell r="D64" t="str">
            <v>октябрь 2011г.-октябрь 2012г.</v>
          </cell>
          <cell r="E64" t="str">
            <v>Указать Календарный период финансирования</v>
          </cell>
        </row>
        <row r="65">
          <cell r="C65" t="str">
            <v>Информация о состояниии проектирования объекта</v>
          </cell>
          <cell r="D65" t="str">
            <v>готовность стадии «Р»</v>
          </cell>
          <cell r="E65" t="str">
            <v>Описать текущее состояние проектирования (готовность стадии "П", готовность стадии "Р"</v>
          </cell>
        </row>
        <row r="66">
          <cell r="C66" t="str">
            <v>Стоимость выполненных работ</v>
          </cell>
          <cell r="D66" t="str">
            <v>-</v>
          </cell>
          <cell r="E66" t="str">
            <v xml:space="preserve"> (по накопительной ведомости и КС-2)</v>
          </cell>
        </row>
        <row r="67">
          <cell r="C67" t="str">
            <v>Информация о текущем состояниии объекта и выполненных работах</v>
          </cell>
          <cell r="D67" t="str">
            <v>расселен дом под снос, произведена перекладка газопровода из-под пятна застройки</v>
          </cell>
          <cell r="E67" t="str">
            <v>Описать текущее состояние объекта, виды выполненных работ, до какого эт.</v>
          </cell>
        </row>
        <row r="68">
          <cell r="C68" t="str">
            <v>продолжительность строительства (мес)</v>
          </cell>
          <cell r="D68" t="str">
            <v>12 мес.</v>
          </cell>
        </row>
        <row r="69">
          <cell r="C69" t="str">
            <v>Общая стоимость в текущих ценах (руб), в т.ч.</v>
          </cell>
        </row>
        <row r="70">
          <cell r="C70" t="str">
            <v>приобретение прав, руб</v>
          </cell>
          <cell r="D70">
            <v>50998000</v>
          </cell>
        </row>
        <row r="71">
          <cell r="C71" t="str">
            <v>проектно-сметная документация (ПСД), руб</v>
          </cell>
        </row>
        <row r="72">
          <cell r="C72" t="str">
            <v>строимтельно-монтажные работы (СМР), руб</v>
          </cell>
          <cell r="D72">
            <v>161484000</v>
          </cell>
        </row>
        <row r="73">
          <cell r="C73" t="str">
            <v>наружные инж. сети, руб</v>
          </cell>
          <cell r="D73" t="str">
            <v>-</v>
          </cell>
        </row>
        <row r="74">
          <cell r="C74" t="str">
            <v>услуги Заказчика, руб</v>
          </cell>
          <cell r="D74" t="str">
            <v>-</v>
          </cell>
        </row>
        <row r="75">
          <cell r="C75" t="str">
            <v>аренда земли, руб</v>
          </cell>
          <cell r="D75" t="str">
            <v>-</v>
          </cell>
        </row>
        <row r="76">
          <cell r="C76" t="str">
            <v>Общая сумма вложеных средств, руб</v>
          </cell>
          <cell r="D76">
            <v>38214110</v>
          </cell>
          <cell r="E76" t="str">
            <v xml:space="preserve">расселение </v>
          </cell>
        </row>
        <row r="77">
          <cell r="C77" t="str">
            <v>Сумма, необходимая для завершения строит-ва, руб.</v>
          </cell>
          <cell r="D77">
            <v>197277890</v>
          </cell>
        </row>
        <row r="78">
          <cell r="C78" t="str">
            <v>Сумма необходимого кредита</v>
          </cell>
          <cell r="D78">
            <v>188394000</v>
          </cell>
        </row>
        <row r="79">
          <cell r="C79" t="str">
            <v>Срок возврата кредита, (мес.)</v>
          </cell>
          <cell r="D79">
            <v>36</v>
          </cell>
        </row>
        <row r="80">
          <cell r="B80" t="str">
            <v>7</v>
          </cell>
          <cell r="C80" t="str">
            <v>Реализация площадей</v>
          </cell>
        </row>
        <row r="81">
          <cell r="C81" t="str">
            <v>Реализуемые площади:</v>
          </cell>
          <cell r="E81" t="str">
            <v>Указывать только долю Заемщика</v>
          </cell>
        </row>
        <row r="82">
          <cell r="C82" t="str">
            <v>Продаваемая площадь квартир, м2</v>
          </cell>
          <cell r="D82">
            <v>5193</v>
          </cell>
          <cell r="E82" t="str">
            <v>Указывать только долю Заемщика</v>
          </cell>
        </row>
        <row r="83">
          <cell r="C83" t="str">
            <v>Продаваемая площадь нежилых помещений, м2</v>
          </cell>
          <cell r="D83" t="str">
            <v>963 (это общ. площадь комерческих помещ. Продаваемая - 881)</v>
          </cell>
          <cell r="E83" t="str">
            <v>Указывать только долю Заемщика</v>
          </cell>
        </row>
        <row r="84">
          <cell r="C84" t="str">
            <v>Продаваемые Машино-места, шт.</v>
          </cell>
          <cell r="D84">
            <v>50</v>
          </cell>
          <cell r="E84" t="str">
            <v>Указывать только долю Заемщика</v>
          </cell>
        </row>
        <row r="86">
          <cell r="C86" t="str">
            <v>Средняя цена реализации 1м2 квартир, (р/м2)</v>
          </cell>
          <cell r="D86">
            <v>52000</v>
          </cell>
        </row>
        <row r="87">
          <cell r="C87" t="str">
            <v>Средняя цена реализации 1м2 нежил. помещений, (р/м2)</v>
          </cell>
          <cell r="D87">
            <v>80000</v>
          </cell>
        </row>
        <row r="88">
          <cell r="C88" t="str">
            <v>Средняя цена реализации машиномест (р/шт.)</v>
          </cell>
          <cell r="D88">
            <v>784000</v>
          </cell>
        </row>
        <row r="90">
          <cell r="C90" t="str">
            <v>Риэлтор (Название/Договор/срок выполнения/размер вознаграждения)</v>
          </cell>
        </row>
        <row r="91">
          <cell r="C91" t="str">
            <v>План продаж</v>
          </cell>
          <cell r="D91" t="str">
            <v>24 мес</v>
          </cell>
          <cell r="E91" t="str">
            <v>Срок реализации  каждого вида площадей (мес).</v>
          </cell>
        </row>
        <row r="92">
          <cell r="B92" t="str">
            <v>8</v>
          </cell>
          <cell r="C92" t="str">
            <v>Риски проекта</v>
          </cell>
        </row>
        <row r="94">
          <cell r="C94" t="str">
            <v>При заполнении анкеты читайте примечания</v>
          </cell>
          <cell r="D94" t="str">
            <v>При заполнении анкеты читайте примечания</v>
          </cell>
          <cell r="E94" t="str">
            <v>При заполнении анкеты читайте примечания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  <sheetName val="AccRepMonth"/>
      <sheetName val="NAVReportInF"/>
      <sheetName val="NAVReport"/>
      <sheetName val="NEW_NAV_REPORT"/>
      <sheetName val="NAV_CHANGE_REPORT"/>
      <sheetName val="AV_CHANGE_REPORT"/>
      <sheetName val="AV_REPORT"/>
      <sheetName val="MF_BALANCE"/>
      <sheetName val="NAVApp1"/>
      <sheetName val="NAVApp2"/>
      <sheetName val="SaldoReport"/>
      <sheetName val="TransReport"/>
      <sheetName val="TicketsReport"/>
      <sheetName val="RegDocReport"/>
      <sheetName val="OperationsReport"/>
      <sheetName val="NAVDrillDown"/>
      <sheetName val="PricesReport"/>
      <sheetName val="NKDReport"/>
      <sheetName val="CardSaldo"/>
      <sheetName val="Order_Vedomost"/>
      <sheetName val="NAV2Reg"/>
      <sheetName val="SecByPlaces"/>
      <sheetName val="NAVAverage"/>
      <sheetName val="Matching"/>
      <sheetName val="OperReport"/>
      <sheetName val="Balance"/>
      <sheetName val="TOC"/>
      <sheetName val="HBS initial"/>
      <sheetName val="PIF_Reports"/>
      <sheetName val="MTR_INDEX"/>
      <sheetName val="SUMMARY_DATA"/>
      <sheetName val="CrYrAssumptions"/>
      <sheetName val="EURO"/>
      <sheetName val="inputs"/>
      <sheetName val="Financial Assumtions"/>
      <sheetName val="WorkC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Ratios"/>
    </sheetNames>
    <sheetDataSet>
      <sheetData sheetId="0"/>
      <sheetData sheetId="1">
        <row r="6">
          <cell r="G6" t="str">
            <v>Yes</v>
          </cell>
        </row>
        <row r="32">
          <cell r="G32" t="str">
            <v>EUR</v>
          </cell>
          <cell r="H32" t="str">
            <v>Euro</v>
          </cell>
          <cell r="I32">
            <v>1</v>
          </cell>
        </row>
        <row r="33">
          <cell r="G33" t="str">
            <v>GBP</v>
          </cell>
          <cell r="H33" t="str">
            <v>British Pound</v>
          </cell>
          <cell r="I33">
            <v>0.8</v>
          </cell>
        </row>
        <row r="34">
          <cell r="G34" t="str">
            <v>USD</v>
          </cell>
          <cell r="H34" t="str">
            <v>United States Dollar</v>
          </cell>
          <cell r="I34">
            <v>1.45</v>
          </cell>
        </row>
        <row r="35">
          <cell r="G35" t="str">
            <v>CHF</v>
          </cell>
          <cell r="H35" t="str">
            <v>Swiss Franc</v>
          </cell>
          <cell r="I35">
            <v>1.5</v>
          </cell>
        </row>
        <row r="36">
          <cell r="G36" t="str">
            <v>RUB</v>
          </cell>
          <cell r="H36" t="str">
            <v>Ruble</v>
          </cell>
          <cell r="I36">
            <v>30</v>
          </cell>
        </row>
        <row r="37">
          <cell r="G37" t="str">
            <v>AED</v>
          </cell>
          <cell r="H37" t="str">
            <v>UAE Dirham</v>
          </cell>
          <cell r="I37">
            <v>5.2</v>
          </cell>
        </row>
        <row r="38">
          <cell r="G38" t="str">
            <v>ANG</v>
          </cell>
          <cell r="H38" t="str">
            <v>Netherlands Antilliean Gulden</v>
          </cell>
          <cell r="I38">
            <v>2.57</v>
          </cell>
        </row>
        <row r="39">
          <cell r="G39" t="str">
            <v>AUD</v>
          </cell>
          <cell r="H39" t="str">
            <v>Australian Dollar</v>
          </cell>
          <cell r="I39">
            <v>1.78</v>
          </cell>
        </row>
        <row r="40">
          <cell r="G40" t="str">
            <v>BGN</v>
          </cell>
          <cell r="H40" t="str">
            <v>Bulgarian Lev</v>
          </cell>
          <cell r="I40">
            <v>1.96</v>
          </cell>
        </row>
        <row r="41">
          <cell r="G41" t="str">
            <v>BMD</v>
          </cell>
          <cell r="H41" t="str">
            <v>Bermudian Dollar</v>
          </cell>
          <cell r="I41">
            <v>1.42</v>
          </cell>
        </row>
        <row r="42">
          <cell r="G42" t="str">
            <v>BRL</v>
          </cell>
          <cell r="H42" t="str">
            <v xml:space="preserve">Brazilian Real </v>
          </cell>
          <cell r="I42">
            <v>2.77</v>
          </cell>
        </row>
        <row r="43">
          <cell r="G43" t="str">
            <v>BZD</v>
          </cell>
          <cell r="H43" t="str">
            <v>Belize Dollar</v>
          </cell>
          <cell r="I43">
            <v>2.84</v>
          </cell>
        </row>
        <row r="44">
          <cell r="G44" t="str">
            <v>CAD</v>
          </cell>
          <cell r="H44" t="str">
            <v>Canadian Dollar</v>
          </cell>
          <cell r="I44">
            <v>1.5</v>
          </cell>
        </row>
        <row r="45">
          <cell r="G45" t="str">
            <v>CNY</v>
          </cell>
          <cell r="H45" t="str">
            <v xml:space="preserve">Renminbi </v>
          </cell>
          <cell r="I45">
            <v>9.9</v>
          </cell>
        </row>
        <row r="46">
          <cell r="G46" t="str">
            <v>CZK</v>
          </cell>
          <cell r="H46" t="str">
            <v>Czech Koruna</v>
          </cell>
          <cell r="I46">
            <v>24.67</v>
          </cell>
        </row>
        <row r="47">
          <cell r="G47" t="str">
            <v>DKK</v>
          </cell>
          <cell r="H47" t="str">
            <v>Danish Krone</v>
          </cell>
          <cell r="I47">
            <v>7.46</v>
          </cell>
        </row>
        <row r="48">
          <cell r="G48" t="str">
            <v>EGP</v>
          </cell>
          <cell r="H48" t="str">
            <v>Egyptian Pound</v>
          </cell>
          <cell r="I48">
            <v>7.85</v>
          </cell>
        </row>
        <row r="49">
          <cell r="G49" t="str">
            <v xml:space="preserve">GEL </v>
          </cell>
          <cell r="H49" t="e">
            <v>#N/A</v>
          </cell>
        </row>
        <row r="50">
          <cell r="G50" t="str">
            <v>HRK</v>
          </cell>
          <cell r="H50" t="str">
            <v>Croatian Kuna</v>
          </cell>
          <cell r="I50">
            <v>7.14</v>
          </cell>
        </row>
        <row r="51">
          <cell r="G51" t="str">
            <v>HUF</v>
          </cell>
          <cell r="H51" t="str">
            <v>Hungarian Florint</v>
          </cell>
          <cell r="I51">
            <v>234.74</v>
          </cell>
        </row>
        <row r="52">
          <cell r="G52" t="str">
            <v>ILS</v>
          </cell>
          <cell r="H52" t="str">
            <v>Iseaeli New Sheqel</v>
          </cell>
          <cell r="I52">
            <v>4.95</v>
          </cell>
        </row>
        <row r="53">
          <cell r="G53" t="str">
            <v>ISK</v>
          </cell>
          <cell r="H53" t="str">
            <v>Icelandic Krona</v>
          </cell>
          <cell r="I53">
            <v>147.32</v>
          </cell>
        </row>
        <row r="54">
          <cell r="G54" t="str">
            <v>JPY</v>
          </cell>
          <cell r="H54" t="str">
            <v>Japan Yen</v>
          </cell>
          <cell r="I54">
            <v>149.91</v>
          </cell>
        </row>
        <row r="55">
          <cell r="G55" t="str">
            <v>KRW</v>
          </cell>
          <cell r="H55" t="str">
            <v>South Korean Won</v>
          </cell>
          <cell r="I55">
            <v>1723.89</v>
          </cell>
        </row>
        <row r="56">
          <cell r="G56" t="str">
            <v>KWD</v>
          </cell>
          <cell r="H56" t="str">
            <v>Kuwaiti Dinar</v>
          </cell>
          <cell r="I56">
            <v>0.38</v>
          </cell>
        </row>
        <row r="57">
          <cell r="G57" t="str">
            <v>KYD</v>
          </cell>
          <cell r="H57" t="str">
            <v>Cayman Island Dollar</v>
          </cell>
          <cell r="I57">
            <v>1.19</v>
          </cell>
        </row>
        <row r="58">
          <cell r="G58" t="str">
            <v>KZT</v>
          </cell>
          <cell r="H58" t="str">
            <v>Kazakhstani Tenge</v>
          </cell>
          <cell r="I58">
            <v>174.37</v>
          </cell>
        </row>
        <row r="59">
          <cell r="G59" t="str">
            <v>LTL</v>
          </cell>
          <cell r="H59" t="str">
            <v>Lithuanuan Litas</v>
          </cell>
          <cell r="I59">
            <v>3.48</v>
          </cell>
        </row>
        <row r="60">
          <cell r="G60" t="str">
            <v>NOK</v>
          </cell>
          <cell r="H60" t="str">
            <v>Norwegian Krone</v>
          </cell>
          <cell r="I60">
            <v>8.33</v>
          </cell>
        </row>
        <row r="61">
          <cell r="G61" t="str">
            <v>NZD</v>
          </cell>
          <cell r="H61" t="str">
            <v>New Zeland Dollar</v>
          </cell>
          <cell r="I61">
            <v>2.2000000000000002</v>
          </cell>
        </row>
        <row r="62">
          <cell r="G62" t="str">
            <v>OMR</v>
          </cell>
          <cell r="H62" t="str">
            <v>Oman Rial</v>
          </cell>
          <cell r="I62">
            <v>0.55000000000000004</v>
          </cell>
        </row>
        <row r="63">
          <cell r="G63" t="str">
            <v>PKR</v>
          </cell>
          <cell r="H63" t="str">
            <v>Pakistani Rupee</v>
          </cell>
          <cell r="I63">
            <v>111.97</v>
          </cell>
        </row>
        <row r="64">
          <cell r="G64" t="str">
            <v>PLN</v>
          </cell>
          <cell r="H64" t="str">
            <v>Polish Zloty</v>
          </cell>
          <cell r="I64">
            <v>3.41</v>
          </cell>
        </row>
        <row r="65">
          <cell r="G65" t="str">
            <v>QAR</v>
          </cell>
          <cell r="H65" t="str">
            <v>Qatari Riyal</v>
          </cell>
          <cell r="I65">
            <v>5.21</v>
          </cell>
        </row>
        <row r="66">
          <cell r="G66" t="str">
            <v>RON</v>
          </cell>
          <cell r="H66" t="str">
            <v>Romanian Leu</v>
          </cell>
          <cell r="I66">
            <v>3.78</v>
          </cell>
        </row>
        <row r="67">
          <cell r="G67" t="str">
            <v>SAR</v>
          </cell>
          <cell r="H67" t="str">
            <v>Saudi Riyal</v>
          </cell>
          <cell r="I67">
            <v>5.38</v>
          </cell>
        </row>
        <row r="68">
          <cell r="G68" t="str">
            <v>SEK</v>
          </cell>
          <cell r="H68" t="str">
            <v>Swedish Krona</v>
          </cell>
          <cell r="I68">
            <v>9.7799999999999994</v>
          </cell>
        </row>
        <row r="69">
          <cell r="G69" t="str">
            <v>SGD</v>
          </cell>
          <cell r="H69" t="str">
            <v>Singapore Dollar</v>
          </cell>
          <cell r="I69">
            <v>2</v>
          </cell>
        </row>
        <row r="70">
          <cell r="G70" t="str">
            <v>SKK</v>
          </cell>
          <cell r="H70" t="str">
            <v>Slovakia Koruna</v>
          </cell>
          <cell r="I70">
            <v>30</v>
          </cell>
        </row>
        <row r="71">
          <cell r="G71" t="str">
            <v>TRY</v>
          </cell>
          <cell r="H71" t="str">
            <v>Turkish New Lira</v>
          </cell>
          <cell r="I71">
            <v>1.82</v>
          </cell>
        </row>
        <row r="72">
          <cell r="G72" t="str">
            <v>UAH</v>
          </cell>
          <cell r="H72" t="str">
            <v>Ukrainian Hryvnia</v>
          </cell>
          <cell r="I72">
            <v>7.39</v>
          </cell>
        </row>
        <row r="73">
          <cell r="G73" t="str">
            <v>ZAR</v>
          </cell>
          <cell r="H73" t="str">
            <v>South African Rand</v>
          </cell>
          <cell r="I73">
            <v>11.85</v>
          </cell>
        </row>
        <row r="77">
          <cell r="G77" t="str">
            <v>Jan</v>
          </cell>
        </row>
        <row r="78">
          <cell r="G78" t="str">
            <v>Feb</v>
          </cell>
        </row>
        <row r="79">
          <cell r="G79" t="str">
            <v>Mar</v>
          </cell>
        </row>
        <row r="80">
          <cell r="G80" t="str">
            <v>Apr</v>
          </cell>
        </row>
        <row r="81">
          <cell r="G81" t="str">
            <v>May</v>
          </cell>
        </row>
        <row r="82">
          <cell r="G82" t="str">
            <v>Jun</v>
          </cell>
        </row>
        <row r="83">
          <cell r="G83" t="str">
            <v>Jul</v>
          </cell>
        </row>
        <row r="84">
          <cell r="G84" t="str">
            <v>Aug</v>
          </cell>
        </row>
        <row r="85">
          <cell r="G85" t="str">
            <v>Sep</v>
          </cell>
        </row>
        <row r="86">
          <cell r="G86" t="str">
            <v>Oct</v>
          </cell>
        </row>
        <row r="87">
          <cell r="G87" t="str">
            <v>Nov</v>
          </cell>
        </row>
        <row r="88">
          <cell r="G88" t="str">
            <v>Dec</v>
          </cell>
        </row>
        <row r="91">
          <cell r="G91">
            <v>2008</v>
          </cell>
        </row>
        <row r="92">
          <cell r="G92">
            <v>2009</v>
          </cell>
        </row>
        <row r="93">
          <cell r="G93">
            <v>2010</v>
          </cell>
        </row>
        <row r="94">
          <cell r="G94">
            <v>2011</v>
          </cell>
        </row>
        <row r="95">
          <cell r="G95">
            <v>2012</v>
          </cell>
        </row>
        <row r="96">
          <cell r="G96">
            <v>2013</v>
          </cell>
        </row>
        <row r="97">
          <cell r="G97">
            <v>2014</v>
          </cell>
        </row>
        <row r="98">
          <cell r="G98">
            <v>2015</v>
          </cell>
        </row>
        <row r="99">
          <cell r="G99">
            <v>2016</v>
          </cell>
        </row>
        <row r="100">
          <cell r="G100">
            <v>2017</v>
          </cell>
        </row>
        <row r="101">
          <cell r="G101">
            <v>2018</v>
          </cell>
        </row>
        <row r="102">
          <cell r="G102">
            <v>2019</v>
          </cell>
        </row>
        <row r="103">
          <cell r="G103">
            <v>2020</v>
          </cell>
        </row>
        <row r="104">
          <cell r="G104">
            <v>2021</v>
          </cell>
        </row>
        <row r="105">
          <cell r="G105">
            <v>2022</v>
          </cell>
        </row>
        <row r="106">
          <cell r="G106">
            <v>2023</v>
          </cell>
        </row>
        <row r="107">
          <cell r="G107">
            <v>2024</v>
          </cell>
        </row>
        <row r="108">
          <cell r="G108">
            <v>2025</v>
          </cell>
        </row>
      </sheetData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AccReport"/>
      <sheetName val="MTR_INDEX"/>
      <sheetName val="TOC"/>
      <sheetName val="HBS initial"/>
      <sheetName val="EURO"/>
      <sheetName val="Assumptions &amp; Inputs"/>
      <sheetName val="Summary"/>
      <sheetName val="Inputs"/>
      <sheetName val="Ф2005"/>
      <sheetName val="Econ Balance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1NK"/>
      <sheetName val="Scenar"/>
      <sheetName val="р10.налоги"/>
      <sheetName val="Служба трансп瀾ዠ爀ዠ吀዗鰀·爰ዠ됀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#ССЫЛКА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11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_x0006_?樀ᏠЀ"/>
      <sheetName val="??руктур????????????) ????"/>
      <sheetName val="Служба трансп栾Ꮰ樀Ꮰ䰀Ꮧꠀ·樰Ꮰ가"/>
      <sheetName val="п.6.2.Перечень скв."/>
      <sheetName val="#REF"/>
      <sheetName val="стрృ???᠀?㜬?樀ᏠЀ"/>
      <sheetName val="??руктур????????????)_????"/>
      <sheetName val="Служба_трансп栾Ꮰ樀Ꮰ䰀Ꮧꠀ·樰Ꮰ가"/>
      <sheetName val="апрель"/>
      <sheetName val="ИнвестицииСвод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_1_Расш2"/>
      <sheetName val="март 2007 приоб НП"/>
      <sheetName val="Баланс (Ф1)"/>
      <sheetName val="Уд__вес_(Росто_x0000__x0000__x0000_"/>
      <sheetName val="Уд__вес_(Росто_x0000__x0000_鵘_x0000_"/>
      <sheetName val="Уд__вес_(Росто_x0000__x0000_䚐_x0000_"/>
      <sheetName val="Уд__вес_(Росто_x0000__x0000__x0000_"/>
      <sheetName val="Уд__вес_(Росто_x0000__x0000_㱸_x0000_"/>
      <sheetName val="Уд__вес_(Росто_x0000__x0000_炨_x0000_"/>
      <sheetName val="Уд__вес_(Росто_x0000__x0000_࠘_x0000_"/>
      <sheetName val="Уд__вес_(Росто_x0000__x0000_挐_x0000_"/>
      <sheetName val="Уд__вес_(Росто_x0000__x0000_樐_x0000_"/>
      <sheetName val="Уд__вес_(Росто_x0000__x0000_欨_x0000_"/>
      <sheetName val="Уд__вес_(Росто丵〒_x0005__x0000_"/>
      <sheetName val="Уд__вес_(Росто_x0005__x0000__x0000_"/>
      <sheetName val="Уд__вес_(Росто헾】_x0005__x0000_"/>
      <sheetName val="4107"/>
      <sheetName val="52"/>
      <sheetName val="4105"/>
      <sheetName val="4106"/>
      <sheetName val="4102"/>
      <sheetName val="4103"/>
      <sheetName val="Уд__вес_(Росто_x0000_ȩ愌_x0012_"/>
      <sheetName val="Уд__вес_(Росто힨Ǚ踇⽑"/>
      <sheetName val="Уд__вес_(Росто_x0001__x0000_檀_x0000_"/>
      <sheetName val="Уд__вес_(Росто齘_x0013_龜_x0013_"/>
      <sheetName val="Уд__вес_(Росто_x0010__x0000_數៦"/>
      <sheetName val="Уд__вес_(Росто_x0000__x0000__x0000_"/>
      <sheetName val="Уд__вес_(Росто_x0000__x0000__x0000_"/>
      <sheetName val="Уд__вес_(Росто׃】_x0000__x0000_"/>
      <sheetName val="1,3 новая"/>
      <sheetName val="Сдача "/>
      <sheetName val="Форма 7 (Скважины)"/>
      <sheetName val="справка"/>
      <sheetName val="Non-Statistical Sampling"/>
      <sheetName val="ЯНВАРЬ"/>
      <sheetName val="Selection"/>
      <sheetName val="ЗАО_н.ит"/>
      <sheetName val="об9"/>
      <sheetName val="_"/>
      <sheetName val="FGL BS data"/>
      <sheetName val="Уд__вес_(Росто徸〒_x0005__x0000_"/>
      <sheetName val="Уд__вес_(Росто浘ƣ蔌⿸"/>
      <sheetName val="Уд__вес_(Росто_x0000__x0000_鳨_x0000_"/>
      <sheetName val="Уд__вес_(Росто_x0000__x0000_념_x0000_"/>
      <sheetName val="Уд__вес_(Росто׃⾿_x0000__x0000_"/>
      <sheetName val="Уд__вес_(Росто_x0010__x0000__xd818_ۥ"/>
      <sheetName val="Уд__вес_(Росто_x0010__x0000_8࡭"/>
      <sheetName val="Уд__вес_(Росто_x0010__x0000_줰࡬"/>
      <sheetName val="Уд__вес_(Росто_x0010__x0000_⟠޻"/>
      <sheetName val="Уд__вес_(Росто_x0000__x0000_到_x0000_"/>
      <sheetName val="Уд__вес_(Ростоⲩ睏䙘৤"/>
      <sheetName val="Уд__вес_(Росто_x0010__x0000_ۅ"/>
      <sheetName val="Уд__вес_(Росто_x0010__x0000_镀࿑"/>
      <sheetName val="Уд__вес_(Росто_x0010__x0000_䟠১"/>
      <sheetName val="Уд__вес_(Росто_x0010__x0000_䇸১"/>
      <sheetName val="Уд__вес_(Росто_x0010__x0000_⠘়"/>
      <sheetName val="Уд__вес_(Росто_x0010__x0000_֚"/>
      <sheetName val="Уд__вес_(Росто_x0000__x0000_贠_x0000_"/>
      <sheetName val="Уд__вес_(Росто_x0010__x0000_䠘ફ"/>
      <sheetName val="Уд__вес_(Росто_x0010__x0000_㮘ݙ"/>
      <sheetName val="Уд__вес_(Росто_x0001__x0000_门_x0000_"/>
      <sheetName val="Уд__вес_(Росто_x0000__x0000_쁰_x0000_"/>
      <sheetName val="Уд__вес_(Росто_x0000__x0000_䱸_x0000_"/>
      <sheetName val="Уд__вес_(Росто䡲⿟_x0000__x0000_"/>
      <sheetName val="Уд__вес_(Росто䡲る_x0000__x0000_"/>
      <sheetName val="Уд__вес_(Ростов)_1"/>
      <sheetName val="Уд__вес_(Росто嚈_x0016_丵⾒"/>
      <sheetName val="Income Statement"/>
      <sheetName val="Balance Sheet"/>
      <sheetName val="Уд__вес_(Росто_x0000__x0000_훈_x0000_"/>
      <sheetName val="Уд__вес_(Росто_x0010__x0000_ƈǀ"/>
      <sheetName val="Уд__вес_(Росто_x0010__x0000_䞨̓"/>
      <sheetName val="Уд__вес_(Росто_x0000__x0000_䃠_x0000_"/>
      <sheetName val="Уд__вес_(Росто狘ǣ੶⿬"/>
      <sheetName val="Уд__вес_(Росто׃〉_x0000__x0000_"/>
      <sheetName val="Уд__вес_(Росто玸 ੶⽚"/>
      <sheetName val="Уд__вес_(Росто県_x0016_睔_x0016_"/>
      <sheetName val="Уд__вес_(Росто礌/祔/"/>
      <sheetName val="Уд__вес_(Росто⩿⿚_x0005__x0000_"/>
      <sheetName val="Уд__вес_(Росто_x0010__x0000_ত"/>
      <sheetName val="2_Налог2"/>
      <sheetName val="_3_ТБ_н2"/>
      <sheetName val="4_ТБ_нп2"/>
      <sheetName val="_5_Н_дз2"/>
      <sheetName val="_6_Фин_2"/>
      <sheetName val="7_Инв2"/>
      <sheetName val="_8_Векс2"/>
      <sheetName val="_11__КФ2"/>
      <sheetName val="_11_Б2"/>
      <sheetName val="Backup_of_BUDJ_02_002"/>
      <sheetName val="прил_22"/>
      <sheetName val="прил_32"/>
      <sheetName val="план_4_кв_2"/>
      <sheetName val="план_без_КН2"/>
      <sheetName val="Исп__прибыли2"/>
      <sheetName val="Исп_прибыли_без_КН2"/>
      <sheetName val="разраб_табл2"/>
      <sheetName val="_Форма_по_неосн_деят_2"/>
      <sheetName val="_Фор_по_неосн_деят_2"/>
      <sheetName val="Пр_12"/>
      <sheetName val="пр1Б_2"/>
      <sheetName val="пр1В__2"/>
      <sheetName val="пр2_а2"/>
      <sheetName val="Прил_3тпп2"/>
      <sheetName val="Прил_3_(2)тпп2"/>
      <sheetName val="Прил_6тпп2"/>
      <sheetName val="Прил_4тпп2"/>
      <sheetName val="Прил_5,12"/>
      <sheetName val="прил_5,_22"/>
      <sheetName val="Прил_62"/>
      <sheetName val="Прил_72"/>
      <sheetName val="Прил_92"/>
      <sheetName val="Прил_102"/>
      <sheetName val="Прил_112"/>
      <sheetName val="П-4_2л_2"/>
      <sheetName val="240_план2"/>
      <sheetName val="Расходы_(август)2"/>
      <sheetName val="факт_общ2"/>
      <sheetName val="факт_общ_(руб)2"/>
      <sheetName val="затраты__20042"/>
      <sheetName val="факт_ПЕРЕСЧЕТ_20032"/>
      <sheetName val="факт_по_н_б_м-ц2"/>
      <sheetName val="факт_по_н_б__снг2"/>
      <sheetName val="факт_по_н_б__снг_(руб)2"/>
      <sheetName val="а-з_подразделений2"/>
      <sheetName val="Удельный_вес2"/>
      <sheetName val="Уд__вес_(Волгоград)2"/>
      <sheetName val="Уд__вес_(Астрахань)2"/>
      <sheetName val="Уд__вес_(Воронеж)2"/>
      <sheetName val="структура_затрат1"/>
      <sheetName val="структурные_мат(т+эн)_и_пр1"/>
      <sheetName val="Свод_по_подразделениям1"/>
      <sheetName val="1__ИСУ2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1__ИСУ3"/>
      <sheetName val="Служба_трансп瀾Ꮰ爀Ꮰ吀Ꮧ氀·爰Ꮰ됀1"/>
      <sheetName val="ТПП_Л-Усинск1"/>
      <sheetName val="HBS_initial1"/>
      <sheetName val="Служба_трансп瀾ዠ爀ዠ吀዗鰀·爰ዠ됀1"/>
      <sheetName val="_1_Ðàñø1"/>
      <sheetName val="2_Íàëîã1"/>
      <sheetName val="_3_ÒÁ_í1"/>
      <sheetName val="4_ÒÁ_íï1"/>
      <sheetName val="_5_Í_äç1"/>
      <sheetName val="_6_Ôèí_1"/>
      <sheetName val="7_Èíâ1"/>
      <sheetName val="_8_Âåêñ1"/>
      <sheetName val="_11__ÊÔ1"/>
      <sheetName val="_11_Á1"/>
      <sheetName val="ïðèë_21"/>
      <sheetName val="ïðèë_31"/>
      <sheetName val="ïëàí_4_êâ_1"/>
      <sheetName val="ïëàí_áåç_ÊÍ1"/>
      <sheetName val="Èñï__ïðèáûëè1"/>
      <sheetName val="Èñï_ïðèáûëè_áåç_ÊÍ1"/>
      <sheetName val="ðàçðàá_òàáë1"/>
      <sheetName val="_Ôîðìà_ïî_íåîñí_äåÿò_1"/>
      <sheetName val="_Ôîð_ïî_íåîñí_äåÿò_1"/>
      <sheetName val="Ïð_11"/>
      <sheetName val="ïð1Á_1"/>
      <sheetName val="ïð1Â__1"/>
      <sheetName val="ïð2_à1"/>
      <sheetName val="Ïðèë_3òïï1"/>
      <sheetName val="Ïðèë_3_(2)òïï1"/>
      <sheetName val="Ïðèë_6òïï1"/>
      <sheetName val="Ïðèë_4òïï1"/>
      <sheetName val="Ïðèë_5,11"/>
      <sheetName val="ïðèë_5,_21"/>
      <sheetName val="Ïðèë_61"/>
      <sheetName val="Ïðèë_71"/>
      <sheetName val="Ïðèë_91"/>
      <sheetName val="Ïðèë_101"/>
      <sheetName val="Ïðèë_111"/>
      <sheetName val="Ï-4_2ë_1"/>
      <sheetName val="240_ïëàí1"/>
      <sheetName val="Ðàñõîäû_(àâãóñò)1"/>
      <sheetName val="ôàêò_îáù1"/>
      <sheetName val="ôàêò_îáù_(ðóá)1"/>
      <sheetName val="çàòðàòû__20041"/>
      <sheetName val="ôàêò_ÏÅÐÅÑ×ÅÒ_20031"/>
      <sheetName val="ôàêò_ïî_í_á_ì-ö1"/>
      <sheetName val="ôàêò_ïî_í_á__ñíã1"/>
      <sheetName val="ôàêò_ïî_í_á__ñíã_(ðóá)1"/>
      <sheetName val="à-ç_ïîäðàçäåëåíèé1"/>
      <sheetName val="Óäåëüíûé_âåñ1"/>
      <sheetName val="Óä__âåñ_(Âîëãîãðàä)1"/>
      <sheetName val="Óä__âåñ_(Àñòðàõàíü)1"/>
      <sheetName val="Óä__âåñ_(Âîðîíåæ)1"/>
      <sheetName val="Óä__âåñ_(Ðîñòîâ)_1"/>
      <sheetName val="ñòðóêòóðà_çàòðàò1"/>
      <sheetName val="ñòðóêòóðíûå_ìàò(ò+ýí)_è_ïð1"/>
      <sheetName val="Ñâîä_ïî_ïîäðàçäåëåíèÿì1"/>
      <sheetName val="1__ÈÑÓ2"/>
      <sheetName val="97_ñ÷åò1"/>
      <sheetName val="2__ÀÑÓ_ÒÏ1"/>
      <sheetName val="3__Ëîêàëüíûå_ÈÑ_è_ÏÏ1"/>
      <sheetName val="4__Âû÷_òåõíèêà1"/>
      <sheetName val="5__Ñâÿçü1"/>
      <sheetName val="6__Èíôîðì__áåçîïàñíîñòü1"/>
      <sheetName val="7__Èíôîðì__îáåñïå÷åíèå1"/>
      <sheetName val="Ñëóæáà_òðàíñïîðòà_è_Ñîïð1"/>
      <sheetName val="1__ÈÑÓ3"/>
      <sheetName val="Ñëóæáà_òðàíñï???????·???1"/>
      <sheetName val="ÒÏÏ_Ë-Óñèíñê1"/>
      <sheetName val="р10_налоги1"/>
      <sheetName val="??руктур????????????)_????1"/>
      <sheetName val="Служба_трансп栾Ꮰ樀Ꮰ䰀Ꮧꠀ·樰Ꮰ가1"/>
      <sheetName val="п_6_2_Перечень_скв_"/>
      <sheetName val="Уд__вес_(Росто_x0010__x0000__xdf50_ٿ"/>
      <sheetName val="Уд__вес_(Росто_x0010__x0000_֜"/>
      <sheetName val="Уд__вес_(Росто_x0010__x0000_܅"/>
      <sheetName val="Уд__вес_(Росто_x0010__x0000_᱀ܰ"/>
      <sheetName val="Уд__вес_(Росто畠_x0013_ꮸ】"/>
      <sheetName val="Уд__вес_(Росто_x0000__x0000_늠_x0000_"/>
      <sheetName val="стрృ"/>
      <sheetName val="_1_爃/_x0000_砀"/>
      <sheetName val="_1_爃/_x0000_ࠀ"/>
      <sheetName val="_1_爅/_x0000_"/>
      <sheetName val="_1_爂/_x0000_⠀"/>
      <sheetName val="1,3 퀀㽛笀襍/"/>
      <sheetName val="1,3 /_x0000_堀]_x0000_"/>
      <sheetName val="1,3 0_x0000_堀]_x0000_"/>
      <sheetName val="Уд__вес_(Росто_x0001__x0000_埠_x0000_"/>
      <sheetName val="Уд__вес_(Росто_x0001__x0000_鎀_x0000_"/>
      <sheetName val="Уд__вес_(Росто_x0000__x0000_ⓐ_x0000_"/>
      <sheetName val="Уд__вес_(Росто⟦睏浘ࣨ"/>
      <sheetName val="Уд__вес_(Росто_x0010__x0000_똠֙"/>
      <sheetName val="Уд__вес_(Росто⟦睏賨¢"/>
      <sheetName val="Уд__вес_(Росто_x0010__x0000_⧘ڒ"/>
      <sheetName val="Уд__вес_(Росто_x0001__x0000_퀸_x0000_"/>
      <sheetName val="Уд__вес_(Росто_x0001__x0000_〸_x0000_"/>
      <sheetName val="Уд__вес_(Росто_x0001__x0000_厀_x0000_"/>
      <sheetName val="Уд__вес_(Росто_x0001__x0000_詈_x0000_"/>
      <sheetName val="Уд__вес_(Росто⟦睏گ"/>
      <sheetName val="Уд__вес_(Росто_x0010__x0000_膈ݛ"/>
      <sheetName val="Уд__вес_(Росто_x0000__x0000_珰_x0000_"/>
      <sheetName val="Уд__вес_(Росто_x0001__x0000_䇀_x0000_"/>
      <sheetName val="Уд__вес_(Росто_x0010__x0000_㷈਺"/>
      <sheetName val="Уд__вес_(Росто_x0010__x0000_蚐਺"/>
      <sheetName val="Уд__вес_(Росто⟦睏薰਺"/>
      <sheetName val="Уд__вес_(Росто_x0001__x0000_쐨_x0000_"/>
      <sheetName val="Уд__вес_(Росто_x0001__x0000_쎀_x0000_"/>
      <sheetName val="Уд__вес_(Росто_x0001__x0000_쉨_x0000_"/>
      <sheetName val="Уд__вес_(Росто_x0000__x0000_摠_x0000_"/>
      <sheetName val="Уд__вес_(Росто_x0001__x0000_锈_x0000_"/>
      <sheetName val="Уд__вес_(Росто_x0001__x0000_눰_x0000_"/>
      <sheetName val="Уд__вес_(Росто_x0000__x0000_˘_x0000_"/>
      <sheetName val="Уд__вес_(Росто_x0001__x0000_˘_x0000_"/>
      <sheetName val="Уд__вес_(Росто_x0001__x0000_馠_x0000_"/>
      <sheetName val="Уд__вес_(Росто⟦睏彐օ"/>
      <sheetName val="Уд__вес_(Росто䩅〢_x0005__x0000_"/>
      <sheetName val="Уд__вес_(Росто徸⾉_x0005__x0000_"/>
      <sheetName val="Уд__вес_(Росто⩿〚_x0005__x0000_"/>
      <sheetName val="Уд__вес_(Росто注ࡒ踇』"/>
      <sheetName val="Уд__вес_(Росто_x0000__x0000_绠_x0000_"/>
      <sheetName val="Уд__вес_(Росто竈_x0013_笌_x0013_"/>
      <sheetName val="Уд__вес_(Росто轀_x001b_⩿⿭"/>
      <sheetName val="Уд__вес_(Росто_x0000__x0000_謨_x0000_"/>
      <sheetName val="Уд__вес_(Росто_x0000__x0000_需_x0000_"/>
      <sheetName val="Уд__вес_(Росто_x0010__x0000_쾈ଖ"/>
      <sheetName val="Уд__вес_(Росто_x0000__x0000_䲰_x0000_"/>
      <sheetName val="Уд__вес_(Росто㍈ڑ踇』"/>
      <sheetName val="Уд__вес_(Ростоퟠ$踇⽳"/>
      <sheetName val="Уд__вес_(Росто骸੶踇⽳"/>
      <sheetName val="исходные данные"/>
      <sheetName val="расчетные таблицы"/>
      <sheetName val="Уд__вес_(Росто_x0000__x0000__x0000_"/>
      <sheetName val="Уд__вес_(Росто_x0000__x0000__x0000_"/>
      <sheetName val="Уд__вес_(Росто_x0000__x0000_鏰_x0000_"/>
      <sheetName val="Уд__вес_(Росто_x0000__x0000_呠_x0000_"/>
      <sheetName val="Уд__вес_(Росто_x0000__x0000__x0000_"/>
      <sheetName val="Уд__вес_(Росто_x0000__x0000__x0000_"/>
      <sheetName val="Уд__вес_(Росто_x0000__x0000_鯐_x0000_"/>
      <sheetName val="Уд__вес_(Росто_x0000__x0000_윀_x0000_"/>
      <sheetName val="Уд__вес_(Росто_x0000__x0000_䎀_x0000_"/>
      <sheetName val="Уд__вес_(Росто_x0000__x0000_䇀_x0000_"/>
      <sheetName val="Уд__вес_(Росто_x0000__x0000_က_x0000_"/>
      <sheetName val="Уд__вес_(Росто_x0000__x0000__x0000_"/>
      <sheetName val="Уд__вес_(Росто_x0000__x0000_쪀_x0000_"/>
      <sheetName val="Уд__вес_(Росто_x0000__x0000_䱀_x0000_"/>
      <sheetName val="Уд__вес_(Росто_x0000__x0000_䪀_x0000_"/>
      <sheetName val="Уд__вес_(Росто_x0000__x0000_蠘_x0000_"/>
      <sheetName val="Уд__вес_(Росто_x0010__x0000_ࣴ"/>
      <sheetName val="Уд__вес_(Росто_x0000__x0000_환_x0000_"/>
      <sheetName val="Уд__вес_(Росто豸㽜踇』"/>
      <sheetName val="Уд__вес_(Росто_x0010__x0000_뼘ց"/>
      <sheetName val="Уд__вес_(Росто_x0010__x0000_뮘২"/>
      <sheetName val="Уд__вес_(Росто_x0010__x0000_ࡐܥ"/>
      <sheetName val="Уд__вес_(Росто_x0000__x0000__x0000_"/>
      <sheetName val="Уд__вес_(Росто_x0010__x0000_菰୓"/>
      <sheetName val="Уд__вес_(Росто_x0010__x0000_힨ତ"/>
      <sheetName val="Уд__вес_(Росто_x0010__x0000_獈ಇ"/>
      <sheetName val="Уд__вес_(Росто_x0010__x0000_阠୮"/>
      <sheetName val="Уд__вес_(Росто_x0010__x0000_ඐ֓"/>
      <sheetName val="Уд__вес_(Росто_x0000__x0000_펀_x0000_"/>
      <sheetName val="Уд__вес_(Росто_x0010__x0000_ᔭ"/>
      <sheetName val="Уд__вес_(Росто_x0010__x0000_鋘ᾀ"/>
      <sheetName val="Уд__вес_(Росто_x0010__x0000_嶐֒"/>
      <sheetName val="Уд__вес_(Росто_x0010__x0000_窸ౘ"/>
      <sheetName val="Уд__вес_(Росто_x0000__x0000_䀀_x0000_"/>
      <sheetName val="Уд__вес_(Росто_x0000__x0000_⃠_x0000_"/>
      <sheetName val="Уд__вес_(Росто_x0000__x0000_裀_x0000_"/>
      <sheetName val="Уд__вес_(Росто_x0000__x0000_퍈_x0000_"/>
      <sheetName val="Уд__вес_(Росто_x0000__x0000_噘_x0000_"/>
      <sheetName val="Уд__вес_(Росто밈ᤗ踇』"/>
      <sheetName val="Уд__вес_(Росто挔_x0013_竖め"/>
      <sheetName val="Уд__вес_(Росто_x0000__x0000_䂨_x0000_"/>
      <sheetName val="Уд__вес_(Росто咘í虝む"/>
      <sheetName val="Уд__вес_(Росто_x0010__x0000_检ਅ"/>
      <sheetName val="Уд__вес_(Росто_x0010__x0000_쐨֠"/>
      <sheetName val="Уд__вес_(Росто_x0000__x0000_陘_x0000_"/>
      <sheetName val="Уд__вес_(Росто_x0010__x0000_ற"/>
      <sheetName val="Уд__вес_(Росто_x0010__x0000_⸀ۏ"/>
      <sheetName val="Уд__вес_(Росто൓踇⼝"/>
      <sheetName val="Уд__вес_(Росто_x0010__x0000_দ"/>
      <sheetName val="Уд__вес_(Росто踇⿐_x0000__x0000_"/>
      <sheetName val="Уд__вес_(Росто_x0010__x0000_㹰̲"/>
      <sheetName val="Уд__вес_(Росто_x0010__x0000_櫰ਸ"/>
      <sheetName val="Уд__вес_(Росто_x0010__x0000__xdf18_࢒"/>
      <sheetName val="Уд__вес_(Росто_x0010__x0000_판ڈ"/>
      <sheetName val="Уд__вес_(Росто_x0010__x0000_ᎀʰ"/>
      <sheetName val="Уд__вес_(Росто_x0000__x0000_㝰_x0000_"/>
      <sheetName val="Уд__вес_(Ростоᠴ踇』"/>
      <sheetName val="Уд__вес_(Росто_x0010__x0000_炨ऴ"/>
      <sheetName val="Уд__вес_(Росто篐ڬ踇』"/>
      <sheetName val="Уд__вес_(Росто뎀࢈踇』"/>
      <sheetName val="Уд__вес_(Росто_x0010__x0000_਴"/>
      <sheetName val="Уд__вес_(Росто⍈᮪踇』"/>
      <sheetName val="Уд__вес_(Росто_x0000__x0000_覠_x0000_"/>
      <sheetName val="Уд__вес_(Росто_x0010__x0000_ᔀ"/>
      <sheetName val="Уд__вес_(Росто_x0010__x0000_媸ܒ"/>
      <sheetName val="Уд__вес_(Росто_x0010__x0000_몸௹"/>
      <sheetName val="Уд__вес_(Росто䜸¦踇』"/>
      <sheetName val="Уд__вес_(Росто_x0010__x0000_쓐ி"/>
      <sheetName val="Уд__вес_(Росто_x0010__x0000__xdce8_պ"/>
      <sheetName val="Уд__вес_(Росто_x0010__x0000_뚐Ĵ"/>
      <sheetName val="Уд__вес_(Росто_x0000__x0000__x0013_"/>
      <sheetName val="Уд__вес_(Росто_x0010__x0000_칰ढ"/>
      <sheetName val="Уд__вес_(Росто_x0000__x0000_芠_x0000_"/>
      <sheetName val="Уд__вес_(Росто_x0000__x0000_顐_x0000_"/>
      <sheetName val="Уд__вес_(Ростоꖨ_x0013_헾】"/>
      <sheetName val="Уд__вес_(Росто_x0000__x0000__x0000_"/>
      <sheetName val="Уд__вес_(Росто_xde70_Ᏺ踇』"/>
      <sheetName val="Уд__вес_(Росто_x0010__x0000_ڭ"/>
      <sheetName val="Уд__вес_(Росто_x0010__x0000_펀চ"/>
      <sheetName val="Уд__вес_(Росто_x0010__x0000_瀸ዋ"/>
      <sheetName val="Уд__вес_(Росто_x0010__x0000_谈ປ"/>
      <sheetName val="Уд__вес_(Росто_x0000__x0000_¨_x0000_"/>
      <sheetName val="Уд__вес_(Росто_x0010__x0000__xdf50_ޮ"/>
      <sheetName val="Уд__вес_(Росто_x0000__x0000__x0000_"/>
      <sheetName val="Уд__вес_(Росто_x0010__x0000_盈༛"/>
      <sheetName val="Уд__вес_(Росто_x0000__x0000_检_x0000_"/>
      <sheetName val="Уд__вес_(Росто罨_x0013_徸〒"/>
      <sheetName val="Уд__вес_(Росто姬$娴$"/>
      <sheetName val="Уд__вес_(Росто闰⾛_x0005__x0000_"/>
      <sheetName val="Уд__вес_(Росто_x0010__x0000_錐֟"/>
      <sheetName val="Уд__вес_(Росто_x0010__x0000_ࣀն"/>
      <sheetName val="Уд__вес_(Росто_x0010__x0000_㚐ܸ"/>
      <sheetName val="Уд__вес_(Росто_x0010__x0000_칰៏"/>
      <sheetName val="Уд__вес_(Росто弬め_x0005__x0000_"/>
      <sheetName val="Уд__вес_(Ростоⱸ୶踇』"/>
      <sheetName val="Уд__вес_(Росто판੃踇』"/>
      <sheetName val="Уд__вес_(Росто_x0010__x0000_ְע"/>
      <sheetName val="Уд__вес_(Росто襨͕踇『"/>
      <sheetName val="Уд__вес_(Росто_x0000__x0000_苘_x0000_"/>
      <sheetName val="Уд__вес_(Росто_x0000__x0000_迀_x0000_"/>
      <sheetName val="Уд__вес_(Росто฀Ơ踇⽋"/>
      <sheetName val="Уд__вес_(Росто_x0000__x0000_䜀_x0000_"/>
      <sheetName val="Уд__вес_(Росто_x0000__x0000_딈_x0000_"/>
      <sheetName val="Уд__вес_(Росто_x0000__x0000__x0000_"/>
      <sheetName val="Уд__вес_(Росто_x0000__x0000__x0000_"/>
      <sheetName val="Уд__вес_(Росто_x0000__x0000_巈_x0000_"/>
      <sheetName val="Уд__вес_(Росто_x0000__x0000_阠_x0000_"/>
      <sheetName val="Уд__вес_(Росто㥨ᇤ踇』"/>
      <sheetName val="Уд__вес_(Росто_x0010__x0000_巈સ"/>
      <sheetName val="Уд__вес_(Росто_x0000__x0000_쉨_x0000_"/>
      <sheetName val="Уд__вес_(Росто_x0000__x0000_㣀_x0000_"/>
      <sheetName val="Уд__вес_(Росто_x0000__x0000_쀀_x0000_"/>
      <sheetName val="Уд__вес_(Росто_x0000__x0000__x0000_"/>
      <sheetName val="Уд__вес_(Росто_x0000__x0000_訐_x0000_"/>
      <sheetName val="Уд__вес_(Росто_x0000__x0000_남_x0000_"/>
      <sheetName val="Уд__вес_(Росто헾⽵_x0005__x0000_"/>
      <sheetName val="Уд__вес_(Росто_x0000__x0000_ʠ_x0000_"/>
      <sheetName val="Уд__вес_(Росто_x0000__x0000__x0000_"/>
      <sheetName val="Уд__вес_(Росто_x0000__x0000_㘠_x0000_"/>
      <sheetName val="Уд__вес_(Росто_x0000__x0000_튠_x0000_"/>
      <sheetName val="Уд__вес_(Росто_x0000__x0000_㋘_x0000_"/>
      <sheetName val="Уд__вес_(Росто_x0000__x0000_䁰_x0000_"/>
      <sheetName val="Уд__вес_(Росто_x0010__x0000_ඐ࠻"/>
      <sheetName val="Уд__вес_(Росто_x0010__x0000_놈஀"/>
      <sheetName val="Уд__вес_(Росто壠1夬1"/>
      <sheetName val="Уд__вес_(Росто_x0000__x0000_廠_x0000_"/>
      <sheetName val="Уд__вес_(Росто_x0000__x0000_絘_x0000_"/>
      <sheetName val="Уд__вес_(Росто鐸_x001c_ᥨԱ"/>
      <sheetName val="Уд__вес_(Росто_x0010__x0000_⟠ஓ"/>
      <sheetName val="Уд__вес_(Росто锼_x0013_閄_x0013_"/>
      <sheetName val="Уд__вес_(Росто睮め_x0005__x0000_"/>
      <sheetName val="Уд__вес_(Росто奰0妼0"/>
      <sheetName val="Уд__вес_(Росто_x0000__x0000_⌐_x0000_"/>
      <sheetName val="Уд__вес_(Росто_x0000__x0000_䄘_x0000_"/>
      <sheetName val="Уд__вес_(Росто_x0000__x0000_폰_x0000_"/>
      <sheetName val="Уд__вес_(Росто壆る_x0000__x0000_"/>
      <sheetName val="Уд__вес_(Росто_x0000__x0000_魠_x0000_"/>
      <sheetName val="Уд__вес_(Росто_x0000__x0000_㜸_x0000_"/>
      <sheetName val="Уд__вес_(Росто_x0000__x0000_肨_x0000_"/>
      <sheetName val="Уд__вес_(Росто攰_x0013_ꮸ】"/>
      <sheetName val="Уд__вес_(Росто_x0010__x0000_㪸ࠣ"/>
      <sheetName val="Уд__вес_(Росто_x0010__x0000_㋘տ"/>
      <sheetName val="Уд__вес_(Росто_x0010__x0000_䕀ৢ"/>
      <sheetName val="Уд__вес_(Росто_x0010__x0000_큰"/>
      <sheetName val="Уд__вес_(Росто_x0010__x0000__xdfc0_"/>
      <sheetName val="Уд__вес_(Росто_x0010__x0000_핀"/>
      <sheetName val="Уд__вес_(Ростоⲩ睏櫰"/>
      <sheetName val="Уд__вес_(Росто_x0010__x0000_エտ"/>
      <sheetName val="Уд__вес_(Ростоⲩ睏抠"/>
      <sheetName val="Уд__вес_(Ростоⲩ睏㡐տ"/>
      <sheetName val="Уд__вес_(Росто_x0010__x0000_㼘տ"/>
      <sheetName val="Уд__вес_(Росто_x0000__x0000_휸_x0000_"/>
      <sheetName val="Уд__вес_(Росто_x0000__x0000_塚_x0000_"/>
      <sheetName val="Уд__вес_(Росто_x0001__x0000_¨_x0000_"/>
      <sheetName val="Уд__вес_(Росто_x0000__x0000_郠_x0000_"/>
      <sheetName val="Уд__вес_(Росто_x0000__x0000_ϰ_x0000_"/>
      <sheetName val="Уд__вес_(Росто_x0000__x0000_䣸_x0000_"/>
      <sheetName val="Уд__вес_(Росто_x0000__x0000__x0000_"/>
      <sheetName val="Уд__вес_(Росто_x0000__x0000_ﾈ_x0000_"/>
      <sheetName val="Уд__вес_(Росто_x0000__x0000_曈_x0000_"/>
      <sheetName val="Уд__вес_(Росто_x0000__x0000__x0000_"/>
      <sheetName val="Уд__вес_(Росто_x0000__x0000_햰_x0000_"/>
      <sheetName val="Уд__вес_(Росто贘_x0013_Ს"/>
      <sheetName val="Уд__вес_(Росто贘_x0013__xddc8_ߕ"/>
      <sheetName val="Уд__вес_(Росто_x0000__x0000_蕸_x0000_"/>
      <sheetName val="Уд__вес_(Росто౾踇⽪"/>
      <sheetName val="Уд__вес_(Росто_x0000__x0000__x0000_"/>
      <sheetName val="Уд__вес_(Росто_x0000__x0000_篐_x0000_"/>
      <sheetName val="Уд__вес_(Росто_x0000__x0000__x0000_"/>
      <sheetName val="Уд__вес_(Росто_x0000__x0000_嫰_x0000_"/>
      <sheetName val="Уд__вес_(Росто_x0000__x0000_푠_x0000_"/>
      <sheetName val="Уд__вес_(Росто_x0000__x0000_㩈_x0000_"/>
      <sheetName val="Уд__вес_(Росто_x0000__x0000_臀_x0000_"/>
      <sheetName val="Уд__вес_(Росто햰୏踇』"/>
      <sheetName val="Уд__вес_(Ростоム୎踇』"/>
      <sheetName val="Уд__вес_(Росто倸ۆ踇』"/>
      <sheetName val="Уд__вес_(Росто뜸ୗ踇』"/>
      <sheetName val="Уд__вес_(Росто喈&quot;徸⽽"/>
      <sheetName val="Уд__вес_(Росто鉸)䛈̹"/>
      <sheetName val="Уд__вес_(Росто顈1ꨐଡ"/>
      <sheetName val="Уд__вес_(Ростоרಶ䡲〴"/>
      <sheetName val="Уд__вес_(Росто灸_x001a_৸"/>
      <sheetName val="Уд__вес_(Росто闸_x001a_飀᎒"/>
      <sheetName val="Уд__вес_(Росто_x0000__x0000_쓐_x0000_"/>
      <sheetName val="Уд___x0012__x0012__x0012__x0012__x0012__x0012__x0012__x0012__x0008__x0008__x0008__x0008__x0008__x0006_"/>
      <sheetName val="_x0000__x0015__x0000__x0007__x0000__x0007__x0000__x000b_"/>
      <sheetName val="Уд__вес_(Росто_x0000__x0000_몀_x0000_"/>
      <sheetName val="Уд__вес_(Росто_x0000__x0000_豸_x0000_"/>
      <sheetName val="Уд__вес_(Росто_x0000__x0000__x0000_"/>
      <sheetName val="Уд__вес_(Росто僘_x001b_數ࠪ"/>
      <sheetName val="Уд__вес_(Росто獘_x001b_ۈ૆"/>
      <sheetName val="Уд__вес_(Росто僘_x001b_Ἐਿ"/>
      <sheetName val="Уд__вес_(Росто獘_x001b_殘ધ"/>
      <sheetName val="Уд__вес_(Росто僘_x001b_Ṱ$"/>
      <sheetName val="Уд__вес_(Росто獘_x001b_뚐ਿ"/>
      <sheetName val="Уд__вес_(Росто_x0000__x0000__x0000_"/>
      <sheetName val="Уд__вес_(Росто_x0000__x0000_䔈_x0000_"/>
      <sheetName val="Уд__вес_(Росто_x0010__x0000_㨐ั"/>
      <sheetName val="Уд__вес_(Росто_x0000__x0000_嘠_x0000_"/>
      <sheetName val="Уд__вес_(Росто_x0010__x0000_Ṱʓ"/>
      <sheetName val="Уд__вес_(Росто_x0000__x0000__x0000_"/>
      <sheetName val="Уд__вес_(Росто䑲⿹_x0000__x0000_"/>
      <sheetName val="Уд__вес_(Росто_x0000__x0000_㱀_x0000_"/>
      <sheetName val="Уд__вес_(Росто_x0000__x0000_泌_x0000_"/>
      <sheetName val="Уд__вес_(Росто_x0000__x0000_덈_x0000_"/>
      <sheetName val="Уд__вес_(Росто_x0000__x0000_锈_x0000_"/>
      <sheetName val="Уд__вес_(Росто_x0000__x0000_唈_x0000_"/>
      <sheetName val="Уд__вес_(Росто_x0000__x0000_惠_x0000_"/>
      <sheetName val="Уд__вес_(Росто_x0000__x0000__x0000_"/>
      <sheetName val="Уд__вес_(Росто_x0000__x0000_倀_x0000_"/>
      <sheetName val="Уд__вес_(Росто_x0000__x0000_佐_x0000_"/>
      <sheetName val="Уд__вес_(Росто_x0000__x0000_쨐_x0000_"/>
      <sheetName val="Уд__вес_(Росто_x0000__x0000_蕀_x0000_"/>
      <sheetName val="Уд__вес_(Росто_x0000__x0000_匐_x0000_"/>
      <sheetName val="Уд__вес_(Росто焘_x0013_岰ڙ"/>
      <sheetName val="Уд__вес_(Росто_x0000__x0000_豀_x0000_"/>
      <sheetName val="Уд__вес_(Росто_x0000__x0000__x0000_"/>
      <sheetName val="Уд__вес_(Росто_x0000__x0000__x0000_"/>
      <sheetName val="Уд__вес_(Росто_x0000__x0000_峨_x0000_"/>
      <sheetName val="Уд__вес_(Росто_x0000__x0000_㉨_x0000_"/>
      <sheetName val="Уд__вес_(Росто_x0000__x0000_꺨_x0000_"/>
      <sheetName val="Уд__вес_(Росто_x0000__x0000_游_x0000_"/>
      <sheetName val="Уд__вес_(Росто_x0000__x0000_䞨_x0000_"/>
      <sheetName val="Уд__вес_(Росто뚆畮⃠޷"/>
      <sheetName val="Уд__вес_(Росто瓐ଫ䡲⾐"/>
      <sheetName val="Уд__вес_(Росто_x0000__x0000_ㄘ_x0000_"/>
      <sheetName val="Уд__вес_(Росто锘_x0018_ꀸ஡"/>
      <sheetName val="Уд__вес_(Росто_x0010__x0000_퓐ऊ"/>
      <sheetName val="Уд__вес_(Росто鴠ƴ踇⾚"/>
      <sheetName val="Уд__вес_(Росто깰ٚ踇⾚"/>
      <sheetName val="Уд__вес_(Росто①௎踇⼭"/>
      <sheetName val="Уд__вес_(Росто_x0010__x0000_訐ٸ"/>
      <sheetName val="Уд__вес_(Росто鬨˞踇⼜"/>
      <sheetName val="Уд__вес_(Росто_x0000__x0000_Ẩ_x0000_"/>
      <sheetName val="ст0_x0000_"/>
      <sheetName val="Уд__вес_(Росто_x0000__x0000_䐨_x0000_"/>
      <sheetName val="Уд__вес_(Росто_x0000__x0000_逸_x0000_"/>
      <sheetName val="Уд__вес_(Росто_x0000__x0000_Ḁ_x0000_"/>
      <sheetName val="Уд__вес_(Росто_x0013_⩿〚"/>
      <sheetName val="Уд__вес_(Росто湸'棸໬"/>
      <sheetName val="Уд__вес_(Росто  "/>
      <sheetName val="Уд__вес_(Росто_x0000__x0000_길_x0000_"/>
      <sheetName val="Уд__вес_(Росто_x0000__x0000_䰈_x0000_"/>
      <sheetName val="Уд__вес_(Росто_x0000__x0000_졐_x0000_"/>
      <sheetName val="Уд__вес_(Росто䡲ぬ_x0000__x0000_"/>
      <sheetName val="Уд__вес_(Росто橂】_x0005__x0000_"/>
      <sheetName val="ст退㩒"/>
      <sheetName val="ст頀㭖"/>
      <sheetName val="Уд__вес_(Росто_x0012_䩅〢"/>
      <sheetName val="_1_Расш3"/>
      <sheetName val="Уд__вес_(Росто_x0000__x0000_殘_x0000_"/>
      <sheetName val="Уд__вес_(Росто_x0010__x0000__xdbd0_֊"/>
      <sheetName val="Уд__вес_(Росто呠è虝む"/>
      <sheetName val="Уд__вес_(Росто_x0010__x0000_̐ર"/>
      <sheetName val="Уд__вес_(Росто_x0001__x0000_摠_x0000_"/>
      <sheetName val="Уд__вес_(Росто_x0010__x0000_৖"/>
      <sheetName val="Уд__вес_(Росто_x0010__x0000_啸ٽ"/>
      <sheetName val="Уд__вес_(Росто_x0010__x0000_㋘ۼ"/>
      <sheetName val="Уд__вес_(Росто_x0010__x0000_㰈ޛ"/>
      <sheetName val="Уд__вес_(Росто_x0010__x0000_偰ڣ"/>
      <sheetName val="Уд__вес_(Росто_x0000__x0000__x0000_"/>
      <sheetName val="Уд__вес_(Росто_x0000__x0000_㣸_x0000_"/>
      <sheetName val="Уд__вес_(Росто_x0000__x0000_䯐_x0000_"/>
      <sheetName val="Уд__вес_(Росто_x0000__x0000_둠_x0000_"/>
      <sheetName val="Уд__вес_(Росто_x0000__x0000_삨_x0000_"/>
      <sheetName val="Уд__вес_(Росто_x0000__x0000_껠_x0000_"/>
      <sheetName val="Уд__вес_(Росто_x0010__x0000_ꃠ¨"/>
      <sheetName val="Уд__вес_(Росто_x0010__x0000_¨"/>
      <sheetName val="Уд__вес_(Росто_x0010__x0000_裀ॷ"/>
      <sheetName val="Уд__вес_(Росто_x0010__x0000__xdab8_¦"/>
      <sheetName val="Уд__вес_(Росто_x0010__x0000_쵘¦"/>
      <sheetName val="Уд__вес_(Росто_x0010__x0000_鵘ڐ"/>
      <sheetName val="Уд__вес_(Росто_x0010__x0000_ꀀ৬"/>
      <sheetName val="Уд__вес_(Росто_x0000__x0000_ঠ_x0000_"/>
      <sheetName val="Уд__вес_(Росто_x0010__x0000_ᖰ౮"/>
      <sheetName val="Уд__вес_(Росто_x0010__x0000_֏"/>
      <sheetName val="Уд__вес_(Росто_x0000__x0000__x0000_"/>
      <sheetName val="Уд__вес_(Росто_x0010__x0000_毐ਬ"/>
      <sheetName val="Уд__вес_(Росто_x0000__x0000__x0000_"/>
      <sheetName val="Уд__вес_(Росто_x0001__x0000_胠_x0000_"/>
      <sheetName val="Уд__вес_(Росто_x0001__x0000_골_x0000_"/>
      <sheetName val="Уд__вес_(Росто_x0000__x0000_Հ_x0000_"/>
      <sheetName val="Уд__вес_(Росто壆る_x0001__x0000_"/>
      <sheetName val="Уд__вес_(Росто_x0000__x0000_샠_x0000_"/>
      <sheetName val="Уд__вес_(Росто_x0000__x0000_꾈_x0000_"/>
      <sheetName val="Уд__вес_(Росто_x0000__x0000_à_x0000_"/>
      <sheetName val="Уд__вес_(Росто_x0000__x0000__x0000_"/>
      <sheetName val="Уд__вес_(Росто_x0000__x0000_耸_x0000_"/>
      <sheetName val="Уд__вес_(Росто_x0000__x0000_편_x0000_"/>
      <sheetName val="Уд__вес_(Росто_x0000__x0000_ୠ_x0000_"/>
      <sheetName val="Уд__вес_(Росто_x0000__x0000_뙘_x0000_"/>
      <sheetName val="Уд__вес_(Росто_x0000__x0000_賨_x0000_"/>
      <sheetName val="Уд__вес_(Росто_x0000__x0000_荈_x0000_"/>
      <sheetName val="Уд__вес_(Росто_x0000__x0000_一_x0000_"/>
      <sheetName val="Уд__вес_(Росто_x0000__x0000_侈_x0000_"/>
      <sheetName val="Уд__вес_(Росто_x0000__x0000_픈_x0000_"/>
      <sheetName val="Уд__вес_(Росто_x0000__x0000_㐨_x0000_"/>
      <sheetName val="Уд__вес_(Росто猂め_x0005__x0000_"/>
      <sheetName val="Уд__вес_(Росто_x0001__x0000_ۈ_x0000_"/>
      <sheetName val="Уд__вес_(Росто_x0000__x0000_靰_x0000_"/>
      <sheetName val="Уд__вес_(Росто_x0000__x0000_辈_x0000_"/>
      <sheetName val="Уд__вес_(Росто_x0000__x0000_쪸_x0000_"/>
      <sheetName val="Уд__вес_(Росто_x0000__x0000_簈_x0000_"/>
      <sheetName val="Уд__вес_(Росто_x0000__x0000_棸_x0000_"/>
      <sheetName val="Уд__вес_(Росто_x0000__x0000_핸_x0000_"/>
      <sheetName val="Уд__вес_(Росто_x0000__x0000_洠_x0000_"/>
      <sheetName val="Уд__вес_(Росто_x0010__x0000_ቨঋ"/>
      <sheetName val="Уд__вес_(Росто_x0000__x0000_걀_x0000_"/>
      <sheetName val="Уд__вес_(Росто_x0000__x0000_릠_x0000_"/>
      <sheetName val="Уд__вес_(Росто_x0000__x0000__x0000_"/>
      <sheetName val="Уд__вес_(Росто_x0000__x0000_朸_x0000_"/>
      <sheetName val="Уд__вес_(Росто_x0000__x0000_襨_x0000_"/>
      <sheetName val="Уд__вес_(Росто_x0000__x0000_镸_x0000_"/>
      <sheetName val="Уд__вес_(Росто_x0000__x0000_ո_x0000_"/>
      <sheetName val="Уд__вес_(Росто_x0000__x0000_縸_x0000_"/>
      <sheetName val="Уд__вес_(Росто_x0000__x0000_皐_x0000_"/>
      <sheetName val="Уд__вес_(Росто_x0000__x0000__x0000_"/>
      <sheetName val="Уд__вес_(Росто_x0000__x0000_䒘_x0000_"/>
      <sheetName val="Уд__вес_(Росто様ड踇』"/>
      <sheetName val="Уд__вес_(Росто_x0000__x0000_窀_x0000_"/>
      <sheetName val="Уд__вес_(Росто_x0000__x0000_懀_x0000_"/>
      <sheetName val="Уд__вес_(Росто_x0000__x0000_激_x0000_"/>
      <sheetName val="ст옊識"/>
      <sheetName val="Уд__вес_(Росто帔る_x0000__x0000_"/>
      <sheetName val="стİ_x0000_"/>
      <sheetName val="Уд__вес_(Росто_x0000__x0000__x0000_"/>
      <sheetName val="Уд__вес_(Росто_x0000__x0000__x0000_"/>
      <sheetName val="Comp06"/>
      <sheetName val="Уд__вес_(Росто⩿〆_x0005__x0000_"/>
      <sheetName val="Уд__вес_(Росто蚘_x0013_޹〚"/>
      <sheetName val="Уд__вес_(Росто_x0010__x0000_潐ࣩ"/>
      <sheetName val="Уд__вес_(Росто_x0000__x0000__x0000_"/>
      <sheetName val="ст԰_x0000_"/>
      <sheetName val="Уд__вес_(Росто揄る_x0000__x0000_"/>
      <sheetName val="Уд__вес_(Росто踬_x001c_蹴_x001c_"/>
      <sheetName val="Уд__вес_(Росто׃】_x0001__x0000_"/>
      <sheetName val="Уд__вес_(Росто鲨_x0016_헾⼰"/>
      <sheetName val="Уд__вес_(Росто鬈_x001b_魌_x001b_"/>
      <sheetName val="Уд__вес_(Росто㲜瞩*"/>
      <sheetName val="ст였識"/>
      <sheetName val="Уд__вес_(Росто_x0000__x0000_㛈_x0000_"/>
      <sheetName val="ст옋識"/>
      <sheetName val="стᐌ譞"/>
      <sheetName val="Уд__вес_(Росто埸.徸⽢"/>
      <sheetName val="Уд__вес_(Росто瞒め_x0005__x0000_"/>
      <sheetName val="Уд__вес_(Росто_x0000__x0000_엨_x0000_"/>
      <sheetName val="Backup%20of%20BUDJ_02_00.xlk"/>
      <sheetName val="1,3 䠏ፓ쀀䅟爌"/>
      <sheetName val="Input"/>
      <sheetName val="УТТ-1"/>
      <sheetName val="Уд__вес_(Росто_x0000__x0000_⧘_x0000_"/>
      <sheetName val="Уд__вес_(Росто_x0000__x0000_Ǹ_x0000_"/>
      <sheetName val="Уд__вес_(Росто_x0010__x0000_ꤰ݌"/>
      <sheetName val="Уд__вес_(Росто_x0000__x0000_Ᏸ_x0000_"/>
      <sheetName val="Уд__вес_(Росто徸⼟_x0005__x0000_"/>
      <sheetName val="Уд__вес_(Росто_x0000__x0000_ﲰ_x0000_"/>
      <sheetName val="Уд__вес_(Росто׃⼩_x0000__x0000_"/>
      <sheetName val="Уд__вес_(Росто_x0010__x0000_ᨐԦ"/>
      <sheetName val="Уд__вес_(Росто_x0010__x0000_⮘঵"/>
      <sheetName val="Уд__вес_(Росто_x0000__x0000_忀_x0000_"/>
      <sheetName val="Уд__вес_(Росто_x0000__x0000_꽐_x0000_"/>
      <sheetName val="Уд__вес_(Росто_x0000__x0000_궐_x0000_"/>
      <sheetName val="Уд__вес_(Росто_x0000__x0000_退_x0000_"/>
      <sheetName val="Уд__вес_(Росто_x0000__x0000__xdea8__x0000_"/>
      <sheetName val="Уд__вес_(Росто_x0000__x0000_礰_x0000_"/>
      <sheetName val="Уд__вес_(Росто_x0000__x0000__x0000_"/>
      <sheetName val="Уд__вес_(Росто睮⿞_x0005__x0000_"/>
      <sheetName val="Уд__вес_(Росто_x0000__x0000_쮘_x0000_"/>
      <sheetName val="Уд__вес_(Росто_x0000__x0000__xde38__x0000_"/>
      <sheetName val="Уд__вес_(Росто_x0000__x0000_俀_x0000_"/>
      <sheetName val="Уд__вес_(Росто_x0000__x0000__x0000_"/>
      <sheetName val="Уд__вес_(Росто_x0000__x0000_缘_x0000_"/>
      <sheetName val="Уд__вес_(Росто_x0001__x0000_戰_x0000_"/>
      <sheetName val="Уд__вес_(Росто_x0000__x0000_籀_x0000_"/>
      <sheetName val="ст쌖ᄅ"/>
      <sheetName val="ст㔀቎"/>
      <sheetName val="Уд__вес_(Росто_x0000__x0000_킨_x0000_"/>
      <sheetName val="Уд__вес_(Росто_x0000__x0000_㿀_x0000_"/>
      <sheetName val="Уд__вес_(Росто_x0000__x0000_壸_x0000_"/>
      <sheetName val="ст쐏譣"/>
      <sheetName val="ст쐅譣"/>
      <sheetName val="ст쐊譣"/>
      <sheetName val="ст쌊ᄅ"/>
      <sheetName val="ст쌏ᄅ"/>
      <sheetName val="ст쌍ᄅ"/>
      <sheetName val="ст쌀ᄅ"/>
      <sheetName val="ст쌆ᄅ"/>
      <sheetName val="ст쌉ᄅ"/>
      <sheetName val="ст쌌ᄅ"/>
      <sheetName val="ст쌎ᄅ"/>
      <sheetName val="ст쌋ᄅ"/>
      <sheetName val="ст쌑ᄅ"/>
      <sheetName val="ст쌒ᄅ"/>
      <sheetName val="Уд__вес_(Росто_x0000__x0000_䣀_x0000_"/>
      <sheetName val="Уд__вес_(Росто_x0000__x0000_鬨_x0000_"/>
      <sheetName val="Уд__вес_(Росто_x0000__x0000_䠘_x0000_"/>
      <sheetName val="Уд__вес_(Росто袈৯䑲⽽"/>
      <sheetName val="Уд__вес_(Росто䑲々_x0000__x0000_"/>
      <sheetName val="Уд__вес_(Ростоꈰ)䑲⾐"/>
      <sheetName val="Уд__вес_(Росто_x0000__x0000_瑠_x0000_"/>
      <sheetName val="Уд__вес_(Росто_x0000__x0000_禠_x0000_"/>
      <sheetName val="Уд__вес_(Росто_x0000__x0000__x0000_"/>
      <sheetName val="Уд__вес_(Росто砘ઑ䑲⾣"/>
      <sheetName val="Уд__вес_(Росто⢈ॐ䑲⾐"/>
      <sheetName val="Уд__вес_(Росто_x0010__x0000_ꀸڕ"/>
      <sheetName val="Уд__вес_(Росто_x0000__x0000_멈_x0000_"/>
      <sheetName val="Уд__вес_(Росто午_x0013_褰᜖"/>
      <sheetName val="Уд__вес_(Росто_x0000__x0000__x0000_"/>
      <sheetName val="Уд__вес_(Росто午_x0013_뎸ឡ"/>
      <sheetName val="Уд__вес_(Росто_x0000__x0000_扨_x0000_"/>
      <sheetName val="Уд__вес_(Росто午_x0013_쎸࣒"/>
      <sheetName val="Уд__вес_(Росто午_x0013_ڳ"/>
      <sheetName val="Уд__вес_(Росто_x0000__x0000__x0000_"/>
      <sheetName val="Уд__вес_(Росто_x0000__x0000__x0000_"/>
      <sheetName val="Уд__вес_(Росто渘&amp;腐อ"/>
      <sheetName val="Уд__вес_(Росто_x0000__x0000_畀_x0000_"/>
      <sheetName val="Уд__вес_(Росто午_x0013_ڳ"/>
      <sheetName val="Уд__вес_(Росто_x0000__x0000_茐_x0000_"/>
      <sheetName val="Уд__вес_(Росто_x0000__x0000__x0000_"/>
      <sheetName val="Уд__вес_(Росто䑲【_x0000__x0000_"/>
      <sheetName val="Уд__вес_(Росто_x0000__x0000_Ⴈ_x0000_"/>
      <sheetName val="Уд__вес_(Росто_x0000__x0000__xdd90__x0000_"/>
      <sheetName val="Уд__вес_(Росто_x0000__x0000_釀_x0000_"/>
      <sheetName val="Уд__вес_(Росто_x0000__x0000_㓐_x0000_"/>
      <sheetName val="Уд__вес_(Росто_x0000__x0000_慐_x0000_"/>
      <sheetName val="Уд__вес_(Росто鈘,䒘෦"/>
      <sheetName val="Уд__вес_(Росто_x0000__x0000_뇸_x0000_"/>
      <sheetName val="Уд__вес_(Росто_x0000__x0000_뎸_x0000_"/>
      <sheetName val="Уд__вес_(Росто_x0000__x0000_뚐_x0000_"/>
      <sheetName val="Уд__вес_(Росто_x0000__x0000__x0000_"/>
      <sheetName val="Уд__вес_(Росто_x0000__x0000_붐_x0000_"/>
      <sheetName val="Уд__вес_(Росто_x0000__x0000__x0000_"/>
      <sheetName val="стꨀᄞ"/>
      <sheetName val="Уд__вес_(Росто_x0000__x0000__x0000_"/>
      <sheetName val="Уд__вес_(Росто_x0000__x0000_㡐_x0000_"/>
      <sheetName val="Уд__вес_(Росто_x0000__x0000_嚐_x0000_"/>
      <sheetName val="Уд__вес_(Росто_x0000__x0000_䕀_x0000_"/>
      <sheetName val="Уд__вес_(Росто_x0000__x0000_亨_x0000_"/>
      <sheetName val="ст頀ᎆ"/>
      <sheetName val="Уд__вес_(Росто礊め_x0005__x0000_"/>
      <sheetName val="Уд__вес_(Росто_x0000__x0000_鐨_x0000_"/>
      <sheetName val="Уд__вес_(Росто_x0010__x0000__x0013_"/>
      <sheetName val="Уд__вес_(Росто_x0000__x0000_弘_x0000_"/>
      <sheetName val="Уд__вес_(Росто_x0000__x0000_袈_x0000_"/>
      <sheetName val="Уд__вес_(Росто_x0000__x0000_̐_x0000_"/>
      <sheetName val="Уд__вес_(Росто䌸_x0013_츀§"/>
      <sheetName val="Уд__вес_(Росто_x0000__x0000_児_x0000_"/>
      <sheetName val="Уд__вес_(Росто_x0000__x0000_隐_x0000_"/>
      <sheetName val="Уд__вес_(Росто_x0000__x0000_咘_x0000_"/>
      <sheetName val="Уд__вес_(Росто_x0000__x0000_喰_x0000_"/>
      <sheetName val="Уд__вес_(Росто_x0000__x0000_풘_x0000_"/>
      <sheetName val="Уд__вес_(Росто_x0010__x0000_䳨ࣣ"/>
      <sheetName val="Уд__вес_(Росто_x0000__x0000_p_x0000_"/>
      <sheetName val="Уд__вес_(Росто_x0000__x0000_鑠_x0000_"/>
      <sheetName val="Уд__вес_(Росто_x0000__x0000_벰_x0000_"/>
      <sheetName val="Уд__вес_(Росто_x0000__x0000_㔈_x0000_"/>
      <sheetName val="Уд__вес_(Росто_x0000__x0000_淈_x0000_"/>
      <sheetName val="Уд__вес_(Росто_x0001__x0000_ᄘ_x0000_"/>
      <sheetName val="ст옇識"/>
      <sheetName val="ст쐓譣"/>
      <sheetName val="Уд__вес_(Росто_x0000__x0000_剨_x0000_"/>
      <sheetName val="Уд__вес_(Росто_x0000__x0000_룀_x0000_"/>
      <sheetName val="Уд__вес_(Росто_x0000__x0000__x0000_"/>
      <sheetName val="Уд__вес_(Росто_x0000__x0000_Ḹ_x0000_"/>
      <sheetName val="Уд__вес_(Росто_x0000__x0000_磀_x0000_"/>
      <sheetName val="Уд__вес_(Росто_x0000__x0000_뱸_x0000_"/>
      <sheetName val="Уд__вес_(Росто_x0000__x0000_睰_x0000_"/>
      <sheetName val="Уд__вес_(Росто_x0000__x0000__x0000_"/>
      <sheetName val="Уд__вес_(Росто_x0000__x0000_켘_x0000_"/>
      <sheetName val="Уд__вес_(Росто_x0000__x0000_㦠_x0000_"/>
      <sheetName val="Уд__вес_(Росто_x0000__x0000_媸_x0000_"/>
      <sheetName val="Уд__вес_(Росто_x0000__x0000__x0000_"/>
      <sheetName val="Уд__вес_(Росто_x0000__x0000_餰_x0000_"/>
      <sheetName val="Уд__вес_(Росто_x0000__x0000_硐_x0000_"/>
      <sheetName val="Уд__вес_(Росто_x0000__x0000__x0000_"/>
      <sheetName val="Уд__вес_(Росто_x0000__x0000_渀_x0000_"/>
      <sheetName val="Уд__вес_(Росто_x0000__x0000_葠_x0000_"/>
      <sheetName val="Уд__вес_(Росто_x0010__x0000_骸®"/>
      <sheetName val="Уд__вес_(Росто_x0010__x0000_꼘ૢ"/>
      <sheetName val="Уд__вес_(Росто_x0010__x0000_靰ሕ"/>
      <sheetName val="Уд__вес_(Росто_x0010__x0000_ถ"/>
      <sheetName val="Уд__вес_(Росто_x0010__x0000_圀ݚ"/>
      <sheetName val="Уд__вес_(Росто_x0010__x0000_官¥"/>
      <sheetName val="Уд__вес_(Росто_x0010__x0000_᪀ "/>
      <sheetName val="Уд__вес_(Росто_x0000__x0000_妠_x0000_"/>
      <sheetName val="Уд__вес_(Росто_x0000__x0000_垨_x0000_"/>
      <sheetName val="Уд__вес_(Росто_x0000__x0000_㜀_x0000_"/>
      <sheetName val="Уд__вес_(Росто_x0000__x0000__xdd20__x0000_"/>
      <sheetName val="Уд__вес_(Росто_x0000__x0000_쫰_x0000_"/>
      <sheetName val="Уд__вес_(Росто_x0000__x0000_㈰_x0000_"/>
      <sheetName val="Уд__вес_(Росто_x0000__x0000_椰_x0000_"/>
      <sheetName val="Уд__вес_(Росто_x0000__x0000__x0000_"/>
      <sheetName val="Уд__вес_(Росто_x0000__x0000_솈_x0000_"/>
      <sheetName val="Уд__вес_(Росто_x0000__x0000_癘_x0000_"/>
      <sheetName val="Уд__вес_(Росто_x0000__x0000_愘_x0000_"/>
      <sheetName val="Уд__вес_(Росто_x0000__x0000_怀_x0000_"/>
      <sheetName val="Уд__вес_(Росто_x0000__x0000_뿀_x0000_"/>
      <sheetName val="Уд__вес_(Росто_x0000__x0000_뷈_x0000_"/>
      <sheetName val="Уд__вес_(Росто_x0000__x0000_揰_x0000_"/>
      <sheetName val="Уд__вес_(Росто_x0000__x0000_韠_x0000_"/>
      <sheetName val="Уд__вес_(Росто揄る_x0001__x0000_"/>
      <sheetName val="Уд__вес_(Росто_x0000__x0000_侈ື"/>
      <sheetName val="Уд__вес_(Росто_x0000__x0000_쒘_x0000_"/>
      <sheetName val="Уд__вес_(Росто_x0000__x0000__xdce8__x0000_"/>
      <sheetName val="Уд__вес_(Росто牨߿䑲⽊"/>
      <sheetName val="Уд__вес_(Росто_x0010__x0000_票ڛ"/>
      <sheetName val="Уд__вес_(Росто_x0010__x0000_큰ԗ"/>
      <sheetName val="Уд__вес_(Росто_x0010__x0000_惠_x0015_"/>
      <sheetName val="Уд__вес_(Росто烀;鼘̈́"/>
      <sheetName val="Уд__вес_(Росто_x0000__x0000__xddc8__x0000_"/>
      <sheetName val="Уд__вес_(Росто_x0000__x0000_䕸_x0000_"/>
      <sheetName val="Уд__вес_(Росто_x0010__x0000_׽"/>
      <sheetName val="Уд__вес_(Росто_x0010__x0000_怀ૹ"/>
      <sheetName val="Уд__вес_(Росто䑲⾃_x0001__x0000_"/>
      <sheetName val="Уд__вес_(Росто_x0001__x0000__xdc40__x0000_"/>
      <sheetName val="Уд__вес_(Росто籀ෛ䑲⿅"/>
      <sheetName val="Уд__вес_(Росто_x0000__x0000__x0000_"/>
      <sheetName val="Уд__вес_(Росто_x0000__x0000__x0000_"/>
      <sheetName val="Уд__вес_(Росто\䑲⽠"/>
      <sheetName val="Уд__вес_(Росто䜸፭䑲⽠"/>
      <sheetName val="Уд__вес_(Росто_x0000__x0000_铐_x0000_"/>
      <sheetName val="Уд__вес_(Росто䑲【_x0001__x0000_"/>
      <sheetName val="Уд__вес_(Росто潘)ｐϋ"/>
      <sheetName val="Уд__вес_(Росто덈ɂ䡲⿶"/>
      <sheetName val="Уд__вес_(Росто_x0000__x0000__x0000_"/>
      <sheetName val="Уд__вес_(Росто_x0000__x0000_８_x0000_"/>
      <sheetName val="Уд__вес_(Росто_x0000__x0000_镀_x0000_"/>
      <sheetName val="Уд__вес_(Росто⸸ڀ׃⾪"/>
      <sheetName val="Уд__вес_(Росто_x0010__x0000_⿀ڀ"/>
      <sheetName val="Уд__вес_(Росто隐ۛ׃⾪"/>
      <sheetName val="Уд__вес_(Росто읰ڨ׃⾪"/>
      <sheetName val="Уд__вес_(Ростоڨ踇』"/>
      <sheetName val="Уд__вес_(Росто⺨֯踇』"/>
      <sheetName val="Уд__вес_(Росто瀀ਮ踇』"/>
      <sheetName val="Уд__вес_(Росто_x0010__x0000_䃠˥"/>
      <sheetName val="Уд__вес_(Росто_x0010__x0000_蜸ਸ਼"/>
      <sheetName val="Уд__вес_(Росто_x0010__x0000__xda10_Ƥ"/>
      <sheetName val="Уд__вес_(Росто躨ۿ׃⾪"/>
      <sheetName val="ст਀腹"/>
      <sheetName val="Уд__вес_(Росто_x0000__x0000_ﻠ_x0000_"/>
      <sheetName val="Уд__вес_(Росто_x0000__x0000_⊠_x0000_"/>
      <sheetName val="Уд__вес_(Росто_x0000__x0000_飀_x0000_"/>
      <sheetName val="Уд__вес_(Росто_x0000__x0000_艨_x0000_"/>
      <sheetName val="Уд__вес_(Росто戨_x0013_啀૬"/>
      <sheetName val="ст/_x0000_"/>
      <sheetName val="Уд__вес_(Росто_x0000__x0000_映_x0000_"/>
      <sheetName val="Уд__вес_(Росто_x0000__x0000_ƈ_x0000_"/>
      <sheetName val="ст렀቟"/>
      <sheetName val="ст䈀ᅪ"/>
      <sheetName val="Уд__вес_(Росто窨_x0013_竬_x0013_"/>
      <sheetName val="Уд__вес_(Росто_x0000__x0000_흰_x0000_"/>
      <sheetName val="Уд__вес_(Росто_x0010__x0000_颈෎"/>
      <sheetName val="Уд__вес_(Росто_x0010__x0000_灰ภ"/>
      <sheetName val="Уд__вес_(Росто钸'买ǎ"/>
      <sheetName val="Уд__вес_(Росто_x0000__x0000_鎀_x0000_"/>
      <sheetName val="Уд__вес_(Росто_x0000__x0000_㟠_x0000_"/>
      <sheetName val="Уд__вес_(Росто戨_x0013_瀀୊"/>
      <sheetName val="Уд__вес_(Росто_x0000__x0000_擄_x0000_"/>
      <sheetName val="Уд__вес_(Росто_x0000__x0000__x0000_"/>
      <sheetName val="Уд__вес_(Росто_x0000__x0000__xdbd0__x0000_"/>
      <sheetName val="Уд__вес_(Росто_x0000__x0000_䀸_x0000_"/>
      <sheetName val="Уд__вес_(Росто_x0000__x0000_偰_x0000_"/>
      <sheetName val="Уд__вес_(Росто毈-嫰৙"/>
      <sheetName val="Уд__вес_(Росто汈!ｐଡ଼"/>
      <sheetName val="Уд__вес_(Росто_x0000__x0000__xdf18__x0000_"/>
      <sheetName val="Уд__вес_(Росто_x0000__x0000_瞨_x0000_"/>
      <sheetName val="Уд__вес_(Росто_x0000__x0000_땀_x0000_"/>
      <sheetName val="Уд__вес_(РостоtaSp"/>
      <sheetName val="Уд__вес_(Росто壆の_x0000__x0000_"/>
      <sheetName val="Уд__вес_(Росто쨐ב䑲⾿"/>
      <sheetName val="Уд__вес_(Росто_x0000__x0000_놈_x0000_"/>
      <sheetName val="Уд__вес_(Росто_x0000__x0000_譠_x0000_"/>
      <sheetName val="Уд__вес_(Росто_xdc08_ɾ䑲⽐"/>
      <sheetName val="Уд__вес_(Росто_x0010__x0000_䃠ࣹ"/>
      <sheetName val="Уд__вес_(Росто_x0000__x0000_䳨_x0000_"/>
      <sheetName val="Уд__вес_(Росто_x0000__x0000_핀_x0000_"/>
      <sheetName val="Уд__вес_(Росто_x0000__x0000_좈_x0000_"/>
      <sheetName val="Уд__вес_(Ростоꐨغ䑲⽠"/>
      <sheetName val="Уд__вес_(Росто_x0000__x0000_㳨_x0000_"/>
      <sheetName val="Уд__вес_(Росто_x0000__x0000_詈_x0000_"/>
      <sheetName val="Уд__вес_(Росто_x0000__x0000_鈰଀"/>
      <sheetName val="Уд__вес_(Росто_x0000__x0000_栘୿"/>
      <sheetName val="Уд__вес_(Росто_x0000__x0000_㌐ஐ"/>
      <sheetName val="Уд__вес_(Росто_x0000__x0000_굘_x0000_"/>
      <sheetName val="Уд__вес_(Росто_x0000__x0000_邨_x0000_"/>
      <sheetName val="Уд__вес_(Росто_x0010__x0000_ీڳ"/>
      <sheetName val="Уд__вес_(Росто_x0010__x0000_֚"/>
      <sheetName val="Уд__вес_(Росто_x0000__x0000_뵘_x0000_"/>
      <sheetName val="Уд__вес_(Росто_x0000__x0000_軠_x0000_"/>
      <sheetName val="Уд__вес_(Росто揄⾣_x0000__x0000_"/>
      <sheetName val="Уд__вес_(Росто刨&lt;溨ᚮ"/>
      <sheetName val="Уд__вес_(Росто_x0000__x0000_鸀_x0000_"/>
      <sheetName val="Уд__вес_(Росто_x0010__x0000_ퟠऑ"/>
      <sheetName val="Уд__вес_(Росто_x0010__x0000_骀ࠗ"/>
      <sheetName val="Уд__вес_(Росто_x0010__x0000_펀ধ"/>
      <sheetName val="Уд__вес_(Росто戰᣺踇』"/>
      <sheetName val="ст쐍譣"/>
      <sheetName val="ст쐀譣"/>
      <sheetName val="1,3 爋譈0_x0000_頀"/>
      <sheetName val="1,3 ⠈⢗᠀뛈쐅"/>
      <sheetName val="ст쐈譣"/>
      <sheetName val="Уд__вес_(Росто_x0000__x0000_뮘_x0000_"/>
      <sheetName val="Уд__вес_(Росто_x0000__x0000_霸_x0000_"/>
      <sheetName val="ст쐃酣"/>
      <sheetName val="ст쐉譣"/>
      <sheetName val="Ñëóæáà òðàíñï_______·___"/>
      <sheetName val="стрృ___᠀_㜬_x0006__樀ᏠЀ"/>
      <sheetName val="__руктур____________) ____"/>
      <sheetName val="ст怀⭕"/>
      <sheetName val="Уд__вес_(Росто_x0000__x0000_寐_x0000_"/>
      <sheetName val="ст쌙ᄅ"/>
      <sheetName val="ст쌕ᄅ"/>
      <sheetName val="Уд__вес_(Росто_x0000__x0000_ᄘ_x0000_"/>
      <sheetName val="ст렀뽟"/>
    </sheetNames>
    <definedNames>
      <definedName name="GetSANDValue" refersTo="#ССЫЛКА!"/>
      <definedName name="GetVal" refersTo="#ССЫЛКА!"/>
      <definedName name="PutHeader" refersTo="#ССЫЛКА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>
        <row r="19">
          <cell r="B19" t="str">
            <v>сжатый воздух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5">
          <cell r="A5" t="str">
            <v>ОАО Котласский ЦБК</v>
          </cell>
        </row>
        <row r="13">
          <cell r="B13">
            <v>90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Аналоги-1"/>
      <sheetName val="Расчет-1"/>
      <sheetName val="Аналоги-2К"/>
      <sheetName val="Расчет-2К"/>
      <sheetName val="Аналоги-2"/>
      <sheetName val="Расчет-2"/>
      <sheetName val="Аналоги-3"/>
      <sheetName val="Расчет-3"/>
      <sheetName val="Степень-рынок"/>
      <sheetName val="отделка"/>
      <sheetName val="Analitics_Values"/>
      <sheetName val="Info-report"/>
      <sheetName val="СВОД"/>
      <sheetName val="Дом-4Ш(88из102)"/>
      <sheetName val="Дом-3K(все120)"/>
      <sheetName val="Дом-4K(все80)"/>
      <sheetName val="Дом-5K(все140)"/>
      <sheetName val="Дом-6K(все80)"/>
      <sheetName val="corr"/>
      <sheetName val="4Ш_ДДУ"/>
      <sheetName val="3К_ДДУ"/>
      <sheetName val="4К_ДДУ"/>
      <sheetName val="5К_ДДУ"/>
      <sheetName val="6К_ДДУ"/>
      <sheetName val="Ко-Инвест"/>
      <sheetName val="все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F3">
            <v>-0.94479999999999997</v>
          </cell>
        </row>
        <row r="4">
          <cell r="F4">
            <v>-0.4299</v>
          </cell>
        </row>
        <row r="5">
          <cell r="F5">
            <v>-0.24940000000000001</v>
          </cell>
        </row>
        <row r="8">
          <cell r="D8">
            <v>47718</v>
          </cell>
        </row>
        <row r="9">
          <cell r="D9">
            <v>47263</v>
          </cell>
        </row>
        <row r="10">
          <cell r="D10">
            <v>47033</v>
          </cell>
        </row>
        <row r="11">
          <cell r="D11">
            <v>42979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реестр отгрузка"/>
      <sheetName val="Услов"/>
      <sheetName val="Итог по НПО "/>
      <sheetName val="Понедельно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Indizes"/>
      <sheetName val="Links"/>
      <sheetName val="Bendra"/>
      <sheetName val="Spr"/>
      <sheetName val="движимое имущество"/>
      <sheetName val="SUMMARY_DATA"/>
      <sheetName val="cfg"/>
      <sheetName val="Gen"/>
      <sheetName val="Exh_DCF"/>
      <sheetName val="Exh_CoCo"/>
      <sheetName val="карточка"/>
      <sheetName val="Договор № 356Л01001"/>
      <sheetName val="F1_detail"/>
      <sheetName val="Предположения"/>
      <sheetName val="KEY"/>
      <sheetName val="Sched 11-ACTUALS"/>
      <sheetName val="NASE Oil-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МАКРО"/>
      <sheetName val="Курс USD"/>
      <sheetName val="Sum"/>
      <sheetName val="ЗП"/>
      <sheetName val="DCF"/>
      <sheetName val="СП"/>
      <sheetName val="Ф1"/>
      <sheetName val="Ф2"/>
      <sheetName val="Ф5"/>
      <sheetName val="Оф 1"/>
      <sheetName val="Оф2"/>
      <sheetName val="Оф5"/>
      <sheetName val="FRA1"/>
      <sheetName val="FRA2"/>
      <sheetName val="Графики"/>
      <sheetName val="CAPM"/>
      <sheetName val="ЧДП"/>
      <sheetName val="ЛиквС"/>
      <sheetName val="Depr-план"/>
      <sheetName val="Depr-ДВМЦ"/>
      <sheetName val="CapEx_Depr-ОС"/>
      <sheetName val="Налоги"/>
      <sheetName val="Персонал"/>
      <sheetName val="WorkCap"/>
      <sheetName val="Beta"/>
      <sheetName val="Спец. риск S3"/>
      <sheetName val="RTSI"/>
      <sheetName val="Расчет доходности"/>
      <sheetName val="Сектор"/>
      <sheetName val="ВиС"/>
      <sheetName val="Тек-авиа"/>
      <sheetName val="Пл-авиа"/>
      <sheetName val="Тек-прочее"/>
      <sheetName val="Пл-прочее"/>
      <sheetName val="ОС"/>
      <sheetName val="Двигатели"/>
      <sheetName val="Мультипл. USA"/>
      <sheetName val="Бета"/>
      <sheetName val="wacc-Дамодаран"/>
      <sheetName val="Фин.рез."/>
      <sheetName val="Тек-Дог"/>
      <sheetName val="Прочее-пл"/>
      <sheetName val="Авиа-тек"/>
      <sheetName val="Авиализинг"/>
      <sheetName val="ВС502 и ВС503"/>
      <sheetName val="Restricted Stock Regression"/>
      <sheetName val="Bid-Ask Spread"/>
      <sheetName val="DiscChart"/>
      <sheetName val="IlliqChart"/>
      <sheetName val="Sheet2"/>
    </sheetNames>
    <sheetDataSet>
      <sheetData sheetId="0"/>
      <sheetData sheetId="1"/>
      <sheetData sheetId="2"/>
      <sheetData sheetId="3"/>
      <sheetData sheetId="4">
        <row r="2">
          <cell r="B2" t="str">
            <v>Таблица 2.1.  Расчет итоговой рыночной стоимости собственного капитала</v>
          </cell>
        </row>
      </sheetData>
      <sheetData sheetId="5"/>
      <sheetData sheetId="6">
        <row r="9">
          <cell r="B9" t="str">
            <v>Метод дисконтированных денежных потоков</v>
          </cell>
        </row>
        <row r="69">
          <cell r="R69">
            <v>2.1999999999999999E-2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Sum"/>
      <sheetName val="ЗП"/>
      <sheetName val="СП"/>
      <sheetName val="DCF"/>
      <sheetName val="Форма 1"/>
      <sheetName val="Форма 2"/>
      <sheetName val="Форма 5"/>
      <sheetName val="FRA1"/>
      <sheetName val="FRA2"/>
      <sheetName val="ОС"/>
      <sheetName val="ТЗ исх. д."/>
      <sheetName val="стр. 140"/>
      <sheetName val="ДФВ"/>
      <sheetName val="стр. 150"/>
      <sheetName val="стр. 210"/>
      <sheetName val="стр. 240"/>
      <sheetName val="ДЗ"/>
      <sheetName val="стр. 250"/>
      <sheetName val="КФВ"/>
      <sheetName val="стр. 420,430,470"/>
      <sheetName val="стр. 520,610"/>
      <sheetName val="кредиты"/>
      <sheetName val="стр. 620"/>
      <sheetName val="КЗ"/>
      <sheetName val="Мультипл-итог"/>
      <sheetName val=" WACC"/>
      <sheetName val="Расчет доходности"/>
      <sheetName val="Спец. риск S3"/>
      <sheetName val="доходы"/>
      <sheetName val="расходы"/>
      <sheetName val="Стр-ра В и С"/>
      <sheetName val="Стр-ра Оп и Вн"/>
      <sheetName val="CapEx_Depr"/>
      <sheetName val="Стр. 130"/>
      <sheetName val="Капвложения"/>
      <sheetName val="WorkCap"/>
      <sheetName val="Персонал"/>
      <sheetName val="Depr_Nez-ka"/>
      <sheetName val="Налоги"/>
      <sheetName val="Отрасль 18131-ф 1"/>
      <sheetName val="Отрасль 18131-ф2"/>
      <sheetName val="Отрасль 18131-ф5"/>
      <sheetName val="Отрасль 91610"/>
      <sheetName val="Индексы РТС"/>
      <sheetName val="Курс USD"/>
      <sheetName val="Курс Евро"/>
      <sheetName val="Restricted Stock Regression"/>
      <sheetName val="Bid-Ask Spread"/>
      <sheetName val="DiscChart"/>
      <sheetName val="IlliqChart"/>
      <sheetName val="Sheet2"/>
      <sheetName val="Мультипл (1выборка)"/>
      <sheetName val="Мультипл (2выборка)"/>
      <sheetName val="Продукция"/>
      <sheetName val="Прайс-лист"/>
      <sheetName val="НМА"/>
      <sheetName val="НМА и ОКР"/>
      <sheetName val="Финвложения"/>
      <sheetName val="Д и К"/>
      <sheetName val="Обыкн и привилег ак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Анализ и расчет оборотного капитала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ководители"/>
      <sheetName val="СП (по всем)"/>
      <sheetName val="ООО &quot;Пилюда&quot;"/>
      <sheetName val="Отрасль 11210-ф1"/>
      <sheetName val="Отрасль 11210-ф2"/>
      <sheetName val="Отрасль 11210-ф5"/>
      <sheetName val="курс доллара"/>
      <sheetName val="ООО &quot;НК &quot;Дулисьма&quot;"/>
      <sheetName val="ОС-исх."/>
      <sheetName val="ОС-исх. (2)"/>
      <sheetName val="ОС-по году"/>
      <sheetName val="ОС-по группам"/>
      <sheetName val="FRA1 ООО &quot;НК &quot;Дулисьма&quot;"/>
      <sheetName val="FRA2 ООО &quot;НК &quot;Дулисьма&quot;"/>
      <sheetName val="Ненецкая КНГК"/>
      <sheetName val="FRA1 Ненецкая КНГК "/>
      <sheetName val="FRA2 Ненецкая КНГК"/>
      <sheetName val="ООО &quot;ДИАЛЛ-АЛЬЯНС&quot;"/>
      <sheetName val="FRA1 ООО&quot;ДИАЛЛ-АЛЬЯНС&quot; "/>
      <sheetName val="FRA2 ООО&quot;ДИАЛЛ-АЛЬЯНС&quot; "/>
      <sheetName val="WACC"/>
      <sheetName val="Спец. риск 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Таблица 3.1.7.  Расчет средневзвешенной стоимости капитала (WACC)</v>
          </cell>
        </row>
      </sheetData>
      <sheetData sheetId="2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11">
          <cell r="A11" t="str">
            <v>&lt;1-й квартал 2002 года&gt;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Calc"/>
      <sheetName val="Selling data"/>
      <sheetName val="Лист1"/>
      <sheetName val="Hidden data"/>
      <sheetName val="Rentals"/>
      <sheetName val="Selling Lessee"/>
    </sheetNames>
    <sheetDataSet>
      <sheetData sheetId="0" refreshError="1">
        <row r="23">
          <cell r="E23">
            <v>21900</v>
          </cell>
        </row>
      </sheetData>
      <sheetData sheetId="1" refreshError="1">
        <row r="7">
          <cell r="E7">
            <v>0.35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гараж_объем "/>
      <sheetName val="гараж_прс"/>
      <sheetName val="прист гар(а)_объем"/>
      <sheetName val="прист гар(а)_прс"/>
      <sheetName val="х-б прист гар_объем"/>
      <sheetName val="х-б прист гар_прс"/>
      <sheetName val="тракторный цех_объем"/>
      <sheetName val="тракторный цех_прс"/>
      <sheetName val="матер склад_объем"/>
      <sheetName val="матер_склад_прс"/>
      <sheetName val="электроцех_объем"/>
      <sheetName val="электроцех_прс"/>
      <sheetName val="управа_объем"/>
      <sheetName val="управа_прс"/>
      <sheetName val="цех затар_объем"/>
      <sheetName val="цех затар_прс"/>
      <sheetName val="магазин со скл_объем"/>
      <sheetName val="магазин со скл_прс"/>
      <sheetName val="стоимость_маш"/>
      <sheetName val="стоимость_мат"/>
      <sheetName val="разряд"/>
      <sheetName val="Rent Assumptions"/>
      <sheetName val="свед"/>
      <sheetName val="исход-итог"/>
      <sheetName val=" Assumptions"/>
      <sheetName val="гараж_объем_"/>
      <sheetName val="прист_гар(а)_объем"/>
      <sheetName val="прист_гар(а)_прс"/>
      <sheetName val="х-б_прист_гар_объем"/>
      <sheetName val="х-б_прист_гар_прс"/>
      <sheetName val="тракторный_цех_объем"/>
      <sheetName val="тракторный_цех_прс"/>
      <sheetName val="матер_склад_объем"/>
      <sheetName val="цех_затар_объем"/>
      <sheetName val="цех_затар_прс"/>
      <sheetName val="магазин_со_скл_объем"/>
      <sheetName val="магазин_со_скл_прс"/>
      <sheetName val="Rent_Assumptions"/>
      <sheetName val="Зем_Opex"/>
      <sheetName val="Арендаторы"/>
      <sheetName val="photos"/>
      <sheetName val="Rates"/>
      <sheetName val="общие сведения"/>
      <sheetName val="восст"/>
      <sheetName val="Потоки"/>
      <sheetName val="Brif_zdanie"/>
      <sheetName val="Выписка_РФИ"/>
      <sheetName val="Имущество_элементы"/>
      <sheetName val="Selling data"/>
      <sheetName val="Print Calc"/>
      <sheetName val="Параметры"/>
      <sheetName val="Glossary"/>
      <sheetName val="расч_прс_ирлен"/>
      <sheetName val="корр-ка на S аренда2"/>
      <sheetName val="общий"/>
      <sheetName val="таб_1"/>
      <sheetName val="InputTI"/>
      <sheetName val="Balance Sheet"/>
      <sheetName val="Income Statement"/>
      <sheetName val="Земля"/>
      <sheetName val="затр_подх"/>
      <sheetName val="Капвложения"/>
      <sheetName val="общие данные"/>
      <sheetName val="Метод остатка"/>
      <sheetName val="БДР"/>
      <sheetName val="БДР план"/>
      <sheetName val="П"/>
      <sheetName val="проч ОС"/>
      <sheetName val="гараж_объем_1"/>
      <sheetName val="прист_гар(а)_объем1"/>
      <sheetName val="прист_гар(а)_прс1"/>
      <sheetName val="х-б_прист_гар_объем1"/>
      <sheetName val="х-б_прист_гар_прс1"/>
      <sheetName val="тракторный_цех_объем1"/>
      <sheetName val="тракторный_цех_прс1"/>
      <sheetName val="матер_склад_объем1"/>
      <sheetName val="цех_затар_объем1"/>
      <sheetName val="цех_затар_прс1"/>
      <sheetName val="магазин_со_скл_объем1"/>
      <sheetName val="магазин_со_скл_прс1"/>
      <sheetName val="общие_сведения"/>
      <sheetName val="Rent_Assumptions1"/>
      <sheetName val="Selling_data"/>
      <sheetName val="Print_Calc"/>
      <sheetName val="корр-ка_на_S_аренда2"/>
      <sheetName val="Balance_Sheet"/>
      <sheetName val="Income_Statement"/>
      <sheetName val="общие_данные"/>
      <sheetName val="БДР_план"/>
      <sheetName val="Метод_остатка"/>
      <sheetName val="проч_ОС"/>
      <sheetName val="_Assumptions"/>
      <sheetName val="ПВД"/>
      <sheetName val="Содержание"/>
      <sheetName val="Tables"/>
      <sheetName val="Резервы"/>
      <sheetName val="ПРОГНОЗ_1"/>
      <sheetName val="Компенсация2"/>
      <sheetName val="ЛитБ"/>
      <sheetName val="Исходные"/>
      <sheetName val="Project Summary"/>
      <sheetName val="BILANS"/>
      <sheetName val="âîññò"/>
      <sheetName val="Исходные данные"/>
      <sheetName val="f1_detail"/>
      <sheetName val="таблица 8"/>
      <sheetName val="Стоим._стр-ва"/>
      <sheetName val="ap and accrual detail-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>
        <row r="1">
          <cell r="A1" t="str">
            <v>разряд</v>
          </cell>
          <cell r="B1" t="str">
            <v>стоим</v>
          </cell>
        </row>
        <row r="2">
          <cell r="A2" t="str">
            <v>м</v>
          </cell>
          <cell r="B2">
            <v>11.4</v>
          </cell>
        </row>
        <row r="3">
          <cell r="A3">
            <v>1</v>
          </cell>
          <cell r="B3">
            <v>7.37</v>
          </cell>
        </row>
        <row r="4">
          <cell r="A4">
            <v>1.1000000000000001</v>
          </cell>
          <cell r="B4">
            <v>7.42</v>
          </cell>
        </row>
        <row r="5">
          <cell r="A5">
            <v>1.2000000000000002</v>
          </cell>
          <cell r="B5">
            <v>7.48</v>
          </cell>
        </row>
        <row r="6">
          <cell r="A6">
            <v>1.3000000000000003</v>
          </cell>
          <cell r="B6">
            <v>7.55</v>
          </cell>
        </row>
        <row r="7">
          <cell r="A7">
            <v>1.4000000000000004</v>
          </cell>
          <cell r="B7">
            <v>7.61</v>
          </cell>
        </row>
        <row r="8">
          <cell r="A8">
            <v>1.5000000000000004</v>
          </cell>
          <cell r="B8">
            <v>7.67</v>
          </cell>
        </row>
        <row r="9">
          <cell r="A9">
            <v>1.6000000000000005</v>
          </cell>
          <cell r="B9">
            <v>7.74</v>
          </cell>
        </row>
        <row r="10">
          <cell r="A10">
            <v>1.7000000000000006</v>
          </cell>
          <cell r="B10">
            <v>7.8</v>
          </cell>
        </row>
        <row r="11">
          <cell r="A11">
            <v>1.8000000000000007</v>
          </cell>
          <cell r="B11">
            <v>7.86</v>
          </cell>
        </row>
        <row r="12">
          <cell r="A12">
            <v>1.9000000000000008</v>
          </cell>
          <cell r="B12">
            <v>7.92</v>
          </cell>
        </row>
        <row r="13">
          <cell r="A13">
            <v>2.0000000000000009</v>
          </cell>
          <cell r="B13">
            <v>7.99</v>
          </cell>
        </row>
        <row r="14">
          <cell r="A14">
            <v>2.100000000000001</v>
          </cell>
          <cell r="B14">
            <v>8.0500000000000007</v>
          </cell>
        </row>
        <row r="15">
          <cell r="A15">
            <v>2.2000000000000011</v>
          </cell>
          <cell r="B15">
            <v>8.1300000000000008</v>
          </cell>
        </row>
        <row r="16">
          <cell r="A16">
            <v>2.3000000000000012</v>
          </cell>
          <cell r="B16">
            <v>8.2100000000000009</v>
          </cell>
        </row>
        <row r="17">
          <cell r="A17">
            <v>2.4000000000000012</v>
          </cell>
          <cell r="B17">
            <v>8.2799999999999994</v>
          </cell>
        </row>
        <row r="18">
          <cell r="A18">
            <v>2.5000000000000013</v>
          </cell>
          <cell r="B18">
            <v>8.36</v>
          </cell>
        </row>
        <row r="19">
          <cell r="A19">
            <v>2.6000000000000014</v>
          </cell>
          <cell r="B19">
            <v>8.44</v>
          </cell>
        </row>
        <row r="20">
          <cell r="A20">
            <v>2.7000000000000015</v>
          </cell>
          <cell r="B20">
            <v>8.51</v>
          </cell>
        </row>
        <row r="21">
          <cell r="A21">
            <v>2.8000000000000016</v>
          </cell>
          <cell r="B21">
            <v>8.59</v>
          </cell>
        </row>
        <row r="22">
          <cell r="A22">
            <v>2.9000000000000017</v>
          </cell>
          <cell r="B22">
            <v>8.66</v>
          </cell>
        </row>
        <row r="23">
          <cell r="A23">
            <v>3.0000000000000018</v>
          </cell>
          <cell r="B23">
            <v>8.74</v>
          </cell>
        </row>
        <row r="24">
          <cell r="A24">
            <v>3.1000000000000019</v>
          </cell>
          <cell r="B24">
            <v>8.84</v>
          </cell>
        </row>
        <row r="25">
          <cell r="A25">
            <v>3.200000000000002</v>
          </cell>
          <cell r="B25">
            <v>8.9600000000000009</v>
          </cell>
        </row>
        <row r="26">
          <cell r="A26">
            <v>3.300000000000002</v>
          </cell>
          <cell r="B26">
            <v>9.07</v>
          </cell>
        </row>
        <row r="27">
          <cell r="A27">
            <v>3.4000000000000021</v>
          </cell>
          <cell r="B27">
            <v>9.19</v>
          </cell>
        </row>
        <row r="28">
          <cell r="A28">
            <v>3.5000000000000022</v>
          </cell>
          <cell r="B28">
            <v>9.3000000000000007</v>
          </cell>
        </row>
        <row r="29">
          <cell r="A29">
            <v>3.6000000000000023</v>
          </cell>
          <cell r="B29">
            <v>9.41</v>
          </cell>
        </row>
        <row r="30">
          <cell r="A30">
            <v>3.7000000000000024</v>
          </cell>
          <cell r="B30">
            <v>9.52</v>
          </cell>
        </row>
        <row r="31">
          <cell r="A31">
            <v>3.8000000000000025</v>
          </cell>
          <cell r="B31">
            <v>9.6300000000000008</v>
          </cell>
        </row>
        <row r="32">
          <cell r="A32">
            <v>3.9000000000000026</v>
          </cell>
          <cell r="B32">
            <v>9.75</v>
          </cell>
        </row>
        <row r="33">
          <cell r="A33">
            <v>4.0000000000000027</v>
          </cell>
          <cell r="B33">
            <v>9.86</v>
          </cell>
        </row>
        <row r="34">
          <cell r="A34">
            <v>4.1000000000000023</v>
          </cell>
          <cell r="B34">
            <v>10</v>
          </cell>
        </row>
        <row r="35">
          <cell r="A35">
            <v>4.200000000000002</v>
          </cell>
          <cell r="B35">
            <v>10.199999999999999</v>
          </cell>
        </row>
        <row r="36">
          <cell r="A36">
            <v>4.3000000000000016</v>
          </cell>
          <cell r="B36">
            <v>10.3</v>
          </cell>
        </row>
        <row r="37">
          <cell r="A37">
            <v>4.4000000000000012</v>
          </cell>
          <cell r="B37">
            <v>10.5</v>
          </cell>
        </row>
        <row r="38">
          <cell r="A38">
            <v>4.5000000000000009</v>
          </cell>
          <cell r="B38">
            <v>10.6</v>
          </cell>
        </row>
        <row r="39">
          <cell r="A39">
            <v>4.6000000000000005</v>
          </cell>
          <cell r="B39">
            <v>10.8</v>
          </cell>
        </row>
        <row r="40">
          <cell r="A40">
            <v>4.7</v>
          </cell>
          <cell r="B40">
            <v>10.9</v>
          </cell>
        </row>
        <row r="41">
          <cell r="A41">
            <v>4.8</v>
          </cell>
          <cell r="B41">
            <v>11.1</v>
          </cell>
        </row>
        <row r="42">
          <cell r="A42">
            <v>4.8999999999999995</v>
          </cell>
          <cell r="B42">
            <v>11.2</v>
          </cell>
        </row>
        <row r="43">
          <cell r="A43">
            <v>4.9999999999999991</v>
          </cell>
          <cell r="B43">
            <v>11.4</v>
          </cell>
        </row>
        <row r="44">
          <cell r="A44">
            <v>5.0999999999999988</v>
          </cell>
          <cell r="B44">
            <v>11.5</v>
          </cell>
        </row>
        <row r="45">
          <cell r="A45">
            <v>5.1999999999999984</v>
          </cell>
          <cell r="B45">
            <v>11.7</v>
          </cell>
        </row>
        <row r="46">
          <cell r="A46">
            <v>5.299999999999998</v>
          </cell>
          <cell r="B46">
            <v>11.9</v>
          </cell>
        </row>
        <row r="47">
          <cell r="A47">
            <v>5.3999999999999977</v>
          </cell>
          <cell r="B47">
            <v>12.1</v>
          </cell>
        </row>
        <row r="48">
          <cell r="A48">
            <v>5.4999999999999973</v>
          </cell>
          <cell r="B48">
            <v>12.3</v>
          </cell>
        </row>
        <row r="49">
          <cell r="A49">
            <v>5.599999999999997</v>
          </cell>
          <cell r="B49">
            <v>12.5</v>
          </cell>
        </row>
        <row r="50">
          <cell r="A50">
            <v>5.6999999999999966</v>
          </cell>
          <cell r="B50">
            <v>12.7</v>
          </cell>
        </row>
        <row r="51">
          <cell r="A51">
            <v>5.7999999999999963</v>
          </cell>
          <cell r="B51">
            <v>12.9</v>
          </cell>
        </row>
        <row r="52">
          <cell r="A52">
            <v>5.8999999999999959</v>
          </cell>
          <cell r="B52">
            <v>13</v>
          </cell>
        </row>
        <row r="53">
          <cell r="A53">
            <v>5.9999999999999956</v>
          </cell>
          <cell r="B53">
            <v>13.2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Лист1"/>
      <sheetName val="табл. 5.2 (2)"/>
      <sheetName val="Выручка комб."/>
      <sheetName val="Кап. влож"/>
      <sheetName val="экспл.комб."/>
      <sheetName val="поток комб. "/>
      <sheetName val="доход комб."/>
      <sheetName val="доход комб.окр."/>
      <sheetName val="АНАЛИЗ  ЧУВСТ.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ель "/>
      <sheetName val="пр-во"/>
      <sheetName val="Свод-1"/>
      <sheetName val="DB200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"/>
      <sheetName val="сдтар"/>
      <sheetName val="топл."/>
      <sheetName val="вспом."/>
      <sheetName val="АУП 1"/>
      <sheetName val="зпосн"/>
      <sheetName val="запл.всм"/>
      <sheetName val="смета"/>
      <sheetName val="сырье"/>
      <sheetName val="пр-во"/>
      <sheetName val="цель."/>
      <sheetName val="сгущ."/>
      <sheetName val="кал.сг."/>
      <sheetName val="Свод-1"/>
      <sheetName val="пр_во"/>
      <sheetName val="топл_"/>
      <sheetName val="вспом_"/>
      <sheetName val="АУП_1"/>
      <sheetName val="запл_всм"/>
      <sheetName val="цель_"/>
      <sheetName val="сгущ_"/>
      <sheetName val="кал_сг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X11">
            <v>3.6309999999999998</v>
          </cell>
        </row>
        <row r="14">
          <cell r="Y14">
            <v>102.51845452999999</v>
          </cell>
          <cell r="AA14">
            <v>70.031096999999988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Дисконт."/>
      <sheetName val="Анализ_риска"/>
      <sheetName val="Сравн._продаж"/>
      <sheetName val="Отн._анализ"/>
      <sheetName val="Стоим._земли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разряд"/>
      <sheetName val="исход-итог"/>
      <sheetName val="FES"/>
      <sheetName val="РМ"/>
      <sheetName val="KKSU"/>
      <sheetName val="финплан стр.п."/>
      <sheetName val="описание"/>
      <sheetName val="Исход.инф."/>
      <sheetName val="НФИк"/>
      <sheetName val="общие сведения"/>
      <sheetName val="Осн_дан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общий"/>
      <sheetName val="Налог на имущество (2)"/>
      <sheetName val="Расчет НЭИ"/>
      <sheetName val="Сравн торг земля (2)"/>
      <sheetName val="Сравн земля пр-во (2)"/>
      <sheetName val="Сравн земля АС (2)"/>
      <sheetName val="ЛИСТ"/>
      <sheetName val="пр-ас"/>
      <sheetName val="константы"/>
      <sheetName val="инж сети физ изн"/>
      <sheetName val="котельная"/>
      <sheetName val="эксп. А1"/>
      <sheetName val="ВС А1"/>
      <sheetName val="Физ.износ А1"/>
      <sheetName val="Затратный (А1)"/>
      <sheetName val="экспл.А2-А5"/>
      <sheetName val="ВС  Лит.А2-А5"/>
      <sheetName val="Физ.износ  А2-А5"/>
      <sheetName val="ведомость"/>
      <sheetName val="Затратный А2-А5"/>
      <sheetName val="ВС  Лит.А6 А7"/>
      <sheetName val="Затратный А6-А7"/>
      <sheetName val="ВС  Лит.Б1-Б5, Б7"/>
      <sheetName val="Физ.износ "/>
      <sheetName val="ВС  Лит.Б6"/>
      <sheetName val="Затратный Б"/>
      <sheetName val="ВС  Лит.В1"/>
      <sheetName val="Физ.износ В1 "/>
      <sheetName val="Затратный В1"/>
      <sheetName val="экспл."/>
      <sheetName val="ВС  Лит.В2"/>
      <sheetName val="Физ.износ В2"/>
      <sheetName val="Затратный В2"/>
      <sheetName val="ВС  Лит.В3 В4"/>
      <sheetName val="Физ.износ В3 В4"/>
      <sheetName val="Затратный В3-В4"/>
      <sheetName val="ВС  Лит.В5"/>
      <sheetName val="Физ.износ В5"/>
      <sheetName val="Затратный В5"/>
      <sheetName val="ВС  Лит.В6"/>
      <sheetName val="Физ.износ В6"/>
      <sheetName val="Затратный В6"/>
      <sheetName val="ИС"/>
      <sheetName val="Сумма зтр"/>
      <sheetName val="Смета А1 нов.стр."/>
      <sheetName val="Смета А2-а7 нов.стр-во"/>
      <sheetName val="Смета Б Нов.стр"/>
      <sheetName val="Смета Лит.В1 В3 В4 нов"/>
      <sheetName val="Смета Лит.В2 В5 В6 нов.стр"/>
      <sheetName val="Экспликация (НС)"/>
      <sheetName val="Сравн торг по земле"/>
      <sheetName val="Сравн Офис для земли"/>
      <sheetName val="Сравн пр-во для земли"/>
      <sheetName val="Сравн Автосерв для земли"/>
      <sheetName val="Итог по сравнит"/>
      <sheetName val="Расчет НЭИ по новому"/>
      <sheetName val="Налог на имущество"/>
      <sheetName val="Земля по 2 мет"/>
      <sheetName val="сравн здания торг оф"/>
      <sheetName val="сравнит пр-ас-1"/>
      <sheetName val="Смета Кап.ремонт Б1-Б3"/>
      <sheetName val="земля с улучшениями (2)"/>
      <sheetName val="Налог на имущество (3)"/>
      <sheetName val="Итог рын ст"/>
      <sheetName val="исход-итог"/>
      <sheetName val="Ключевые данные"/>
      <sheetName val="Финпоказатели"/>
      <sheetName val="Резервы"/>
      <sheetName val="общее"/>
      <sheetName val="Метод остатка"/>
      <sheetName val="Общие сведения"/>
      <sheetName val="общий"/>
      <sheetName val="Оглавление"/>
      <sheetName val="Ставка Д"/>
      <sheetName val="Осн_данные"/>
      <sheetName val="Данные"/>
      <sheetName val="Опции"/>
      <sheetName val="Проект"/>
    </sheetNames>
    <sheetDataSet>
      <sheetData sheetId="0">
        <row r="7">
          <cell r="C7">
            <v>0.14299999999999999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>
            <v>0.14299999999999999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XLR_NoRangeSheet"/>
      <sheetName val="трансформация1"/>
      <sheetName val="MT"/>
      <sheetName val="Общ."/>
      <sheetName val="создание списков"/>
      <sheetName val="осв ОАО (2)"/>
      <sheetName val="Ф2Б"/>
      <sheetName val="CREDIT STATS"/>
      <sheetName val="Assumptions"/>
      <sheetName val="Assumptions and Inputs"/>
      <sheetName val="Adjustment schedule"/>
      <sheetName val="Bp2001est4"/>
      <sheetName val="Фил ref list"/>
      <sheetName val="Лист2"/>
      <sheetName val="Library"/>
      <sheetName val="Notes"/>
      <sheetName val="XREF"/>
      <sheetName val="Graph_support"/>
      <sheetName val="БДДС"/>
      <sheetName val="FES"/>
      <sheetName val="Справочник ЦФО"/>
      <sheetName val="МВЗ"/>
      <sheetName val="Справочник МВЗ"/>
      <sheetName val="Список"/>
      <sheetName val="Лист1"/>
      <sheetName val="ф сплавы"/>
      <sheetName val="Инфо"/>
      <sheetName val="S 60"/>
      <sheetName val="Client Information"/>
      <sheetName val="proforma"/>
      <sheetName val="Read me first"/>
      <sheetName val=" Lifting Costs млн.руб."/>
      <sheetName val="Serv"/>
      <sheetName val="welldata frac analysis"/>
      <sheetName val="январь"/>
      <sheetName val="Компании"/>
      <sheetName val="Balance Sheet"/>
      <sheetName val="Income Statement"/>
      <sheetName val="Курс USD, Euro, SDR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Справочник_ЦФО"/>
      <sheetName val="Справочник_МВЗ"/>
      <sheetName val="Assumptions_and_Inputs"/>
      <sheetName val="Оценка_стоимости_активов"/>
      <sheetName val="Свод"/>
      <sheetName val="a) Core Financials"/>
      <sheetName val="Control Panel"/>
      <sheetName val="Reference"/>
      <sheetName val="T1"/>
      <sheetName val="5"/>
      <sheetName val="Свод 2019"/>
      <sheetName val="Приозерск 2019"/>
      <sheetName val=" Уренгой 2019"/>
      <sheetName val="Лист4"/>
      <sheetName val="КЯЛ 2019"/>
      <sheetName val="Лист3"/>
      <sheetName val="Лист5"/>
      <sheetName val="Лист6"/>
      <sheetName val="СХВ 2018"/>
      <sheetName val="КЯЛ 2019 (20сч)"/>
      <sheetName val="КЯЛ_91 2019"/>
      <sheetName val="Починки"/>
      <sheetName val="СЕГ2 2019"/>
      <sheetName val="Лист14"/>
      <sheetName val="свДох 2019"/>
      <sheetName val="Доходы с аналитикой"/>
      <sheetName val="свТаб 2019"/>
      <sheetName val="Лист8"/>
      <sheetName val="Сводная с расшифровк "/>
      <sheetName val="Сводная с расшифровк  (4)"/>
      <sheetName val="распр. СРЭ остаток 1кв."/>
      <sheetName val="Сводная с расшифровк  (2)"/>
      <sheetName val="КЯЛ 2019 (2)"/>
      <sheetName val="Стр_Анализ"/>
      <sheetName val="свРасх_по годам"/>
      <sheetName val="ГРС Ильичево"/>
      <sheetName val="Сводная с расшифровк  (3)"/>
      <sheetName val="Спецремэнерго апр."/>
      <sheetName val="Доходы с расшифровкой"/>
      <sheetName val="БУ 90"/>
      <sheetName val="ПЛАН 2019"/>
      <sheetName val="Лист7"/>
      <sheetName val="Сводная ПРОЧИЕ"/>
      <sheetName val="Дох_по_годам"/>
      <sheetName val="зп"/>
      <sheetName val="Общ_"/>
      <sheetName val="создание_списков"/>
      <sheetName val="осв_ОАО_(2)"/>
      <sheetName val="CREDIT_STATS"/>
      <sheetName val="Справочник"/>
      <sheetName val="списки"/>
      <sheetName val="затраты"/>
      <sheetName val="СВ"/>
      <sheetName val="исходные данные"/>
      <sheetName val="Citrix замена "/>
      <sheetName val="Adjustment_schedule"/>
      <sheetName val="Фил_ref_list"/>
      <sheetName val="Доп 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ТАБЛИЦА 4</v>
          </cell>
          <cell r="E3" t="str">
            <v>ед.
изм.</v>
          </cell>
          <cell r="F3" t="str">
            <v>ref.</v>
          </cell>
        </row>
        <row r="5">
          <cell r="A5" t="str">
            <v>$/RUR EXCHANGE RATE</v>
          </cell>
          <cell r="B5" t="str">
            <v>input</v>
          </cell>
          <cell r="C5" t="str">
            <v>rbl</v>
          </cell>
          <cell r="D5" t="str">
            <v>КУРС ДОЛЛАРА</v>
          </cell>
          <cell r="E5" t="str">
            <v>input</v>
          </cell>
          <cell r="F5" t="str">
            <v>руб.</v>
          </cell>
        </row>
        <row r="6">
          <cell r="A6" t="str">
            <v>FRF/RUR EXCHANGE RATE</v>
          </cell>
          <cell r="B6" t="str">
            <v>input</v>
          </cell>
          <cell r="C6" t="str">
            <v>rbl</v>
          </cell>
          <cell r="D6" t="str">
            <v>КУРС ФРАНЦУЗСКОГО ФРАНКА</v>
          </cell>
          <cell r="E6" t="str">
            <v>input</v>
          </cell>
          <cell r="F6" t="str">
            <v>руб.</v>
          </cell>
        </row>
        <row r="7">
          <cell r="A7" t="str">
            <v>DKK/RUR EXCHANGE RATE</v>
          </cell>
          <cell r="B7" t="str">
            <v>input</v>
          </cell>
          <cell r="C7" t="str">
            <v>rbl</v>
          </cell>
          <cell r="D7" t="str">
            <v>КУРС ДАТСКОЙ КРОНЫ</v>
          </cell>
          <cell r="E7" t="str">
            <v>input</v>
          </cell>
          <cell r="F7" t="str">
            <v>руб.</v>
          </cell>
        </row>
        <row r="8">
          <cell r="A8" t="str">
            <v>DKK/$ EXCHANGE RATE</v>
          </cell>
          <cell r="B8" t="str">
            <v>Calc.</v>
          </cell>
          <cell r="C8" t="str">
            <v>DKK</v>
          </cell>
          <cell r="D8" t="str">
            <v>КУРС ДОЛЛАРА В ДАТСКИХ КРОНАХ</v>
          </cell>
          <cell r="E8" t="str">
            <v>Calc.</v>
          </cell>
          <cell r="F8" t="str">
            <v>DKK</v>
          </cell>
        </row>
        <row r="10">
          <cell r="A10" t="str">
            <v>TAX RATES</v>
          </cell>
          <cell r="D10" t="str">
            <v>НАЛОГИ</v>
          </cell>
        </row>
        <row r="11">
          <cell r="A11" t="str">
            <v>-VAT</v>
          </cell>
          <cell r="B11" t="str">
            <v>input</v>
          </cell>
          <cell r="C11" t="str">
            <v>%</v>
          </cell>
          <cell r="D11" t="str">
            <v>-НДС</v>
          </cell>
          <cell r="E11" t="str">
            <v>input</v>
          </cell>
          <cell r="F11" t="str">
            <v>%</v>
          </cell>
        </row>
        <row r="12">
          <cell r="A12" t="str">
            <v xml:space="preserve">-Road tax </v>
          </cell>
          <cell r="B12" t="str">
            <v>input</v>
          </cell>
          <cell r="C12" t="str">
            <v>%</v>
          </cell>
          <cell r="D12" t="str">
            <v>-Налог в дорожные фонды</v>
          </cell>
          <cell r="E12" t="str">
            <v>input</v>
          </cell>
          <cell r="F12" t="str">
            <v>%</v>
          </cell>
        </row>
        <row r="13">
          <cell r="A13" t="str">
            <v xml:space="preserve">-Housing tax </v>
          </cell>
          <cell r="B13" t="str">
            <v>input</v>
          </cell>
          <cell r="C13" t="str">
            <v>%</v>
          </cell>
          <cell r="D13" t="str">
            <v xml:space="preserve">-Жилищиный налог </v>
          </cell>
          <cell r="E13" t="str">
            <v>input</v>
          </cell>
          <cell r="F13" t="str">
            <v>%</v>
          </cell>
        </row>
        <row r="14">
          <cell r="A14" t="str">
            <v>-Social payments</v>
          </cell>
          <cell r="B14" t="str">
            <v>input</v>
          </cell>
          <cell r="C14" t="str">
            <v>%</v>
          </cell>
          <cell r="D14" t="str">
            <v>-Выплаты в социальные фонды</v>
          </cell>
          <cell r="E14" t="str">
            <v>input</v>
          </cell>
          <cell r="F14" t="str">
            <v>%</v>
          </cell>
        </row>
        <row r="15">
          <cell r="A15" t="str">
            <v>-Minimum salary</v>
          </cell>
          <cell r="B15" t="str">
            <v>input</v>
          </cell>
          <cell r="C15" t="str">
            <v>rbl</v>
          </cell>
          <cell r="D15" t="str">
            <v>-Минимальный размер оплаты труда</v>
          </cell>
          <cell r="E15" t="str">
            <v>input</v>
          </cell>
          <cell r="F15" t="str">
            <v>руб.</v>
          </cell>
        </row>
        <row r="16">
          <cell r="A16" t="str">
            <v>-Sales tax</v>
          </cell>
          <cell r="B16" t="str">
            <v>input</v>
          </cell>
          <cell r="C16" t="str">
            <v>%</v>
          </cell>
          <cell r="D16" t="str">
            <v>-Налог с продаж</v>
          </cell>
          <cell r="E16" t="str">
            <v>input</v>
          </cell>
          <cell r="F16" t="str">
            <v>%</v>
          </cell>
        </row>
        <row r="17">
          <cell r="A17" t="str">
            <v>-Profit tax</v>
          </cell>
          <cell r="B17" t="str">
            <v>input</v>
          </cell>
          <cell r="C17" t="str">
            <v>%</v>
          </cell>
          <cell r="D17" t="str">
            <v>-Налог на прибыль</v>
          </cell>
          <cell r="E17" t="str">
            <v>input</v>
          </cell>
          <cell r="F17" t="str">
            <v>%</v>
          </cell>
        </row>
        <row r="18">
          <cell r="A18" t="str">
            <v xml:space="preserve">-Public safety tax </v>
          </cell>
          <cell r="B18" t="str">
            <v>input</v>
          </cell>
          <cell r="C18" t="str">
            <v>%</v>
          </cell>
          <cell r="D18" t="str">
            <v>-Налог на правоохранительные органы</v>
          </cell>
          <cell r="E18" t="str">
            <v>input</v>
          </cell>
          <cell r="F18" t="str">
            <v>%</v>
          </cell>
        </row>
        <row r="19">
          <cell r="A19" t="str">
            <v>-Car purchase tax</v>
          </cell>
          <cell r="B19" t="str">
            <v>input</v>
          </cell>
          <cell r="C19" t="str">
            <v>%</v>
          </cell>
          <cell r="D19" t="str">
            <v>-Налог на приобретение автомобилей</v>
          </cell>
          <cell r="E19" t="str">
            <v>input</v>
          </cell>
          <cell r="F19" t="str">
            <v>%</v>
          </cell>
        </row>
        <row r="20">
          <cell r="A20" t="str">
            <v>-Property tax</v>
          </cell>
          <cell r="B20" t="str">
            <v>input</v>
          </cell>
          <cell r="C20" t="str">
            <v>%</v>
          </cell>
          <cell r="D20" t="str">
            <v>-Налог на имущество</v>
          </cell>
          <cell r="E20" t="str">
            <v>input</v>
          </cell>
          <cell r="F20" t="str">
            <v>%</v>
          </cell>
        </row>
        <row r="21">
          <cell r="A21" t="str">
            <v>-Tax on advertisement</v>
          </cell>
          <cell r="B21" t="str">
            <v>input</v>
          </cell>
          <cell r="C21" t="str">
            <v>%</v>
          </cell>
          <cell r="D21" t="str">
            <v>-Налог на рекламу</v>
          </cell>
          <cell r="E21" t="str">
            <v>input</v>
          </cell>
          <cell r="F21" t="str">
            <v>%</v>
          </cell>
        </row>
        <row r="80">
          <cell r="D80" t="str">
            <v>Feb
Фев</v>
          </cell>
          <cell r="E80" t="str">
            <v>March
Март</v>
          </cell>
        </row>
      </sheetData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</row>
        <row r="29">
          <cell r="A29" t="str">
            <v xml:space="preserve">Effective duration of call </v>
          </cell>
          <cell r="D29" t="str">
            <v>Реальная продолжит. разговора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3">
          <cell r="A73" t="str">
            <v>MMT tariffs, incl. VAT</v>
          </cell>
          <cell r="D73" t="str">
            <v>Средние тарифы ММТ, вкл.НДС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 (national)</v>
          </cell>
          <cell r="D91" t="str">
            <v>Процент роста тарифов (межгород)</v>
          </cell>
          <cell r="E91" t="str">
            <v>Input</v>
          </cell>
          <cell r="F91" t="str">
            <v>%</v>
          </cell>
        </row>
        <row r="92">
          <cell r="A92" t="str">
            <v>Tariffs growth rate (international)</v>
          </cell>
          <cell r="D92" t="str">
            <v>Процент роста тарифов (международ)</v>
          </cell>
          <cell r="E92" t="str">
            <v>Input</v>
          </cell>
          <cell r="F92" t="str">
            <v>%</v>
          </cell>
        </row>
        <row r="94">
          <cell r="A94" t="str">
            <v>LD Overpaid/Actual seconds ratio</v>
          </cell>
          <cell r="D94" t="str">
            <v>Коэфф. переплач./реальные секунды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  <cell r="D95" t="str">
            <v>2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  <cell r="D96" t="str">
            <v>3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  <cell r="D97" t="str">
            <v>4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  <cell r="D98" t="str">
            <v>5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  <cell r="D99" t="str">
            <v>6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  <cell r="D100" t="str">
            <v>7 зона междугородней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  <cell r="D101" t="str">
            <v>8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  <cell r="D102" t="str">
            <v>9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  <cell r="D103" t="str">
            <v>10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  <cell r="D104" t="str">
            <v>11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  <cell r="D105" t="str">
            <v>12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  <cell r="D106" t="str">
            <v>13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  <cell r="D107" t="str">
            <v>14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  <cell r="D108" t="str">
            <v>15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  <cell r="D109" t="str">
            <v>16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  <cell r="D110" t="str">
            <v>17 зона международной связи</v>
          </cell>
          <cell r="E110" t="str">
            <v>Input</v>
          </cell>
          <cell r="F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  <cell r="D111" t="str">
            <v>18 зона международной связи</v>
          </cell>
          <cell r="E111" t="str">
            <v>Input</v>
          </cell>
          <cell r="F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  <cell r="D116" t="str">
            <v>Ср.цена тарифной ед. для расчетов с "ПТС" вкл.НДС</v>
          </cell>
          <cell r="E116" t="str">
            <v>Calc.</v>
          </cell>
          <cell r="F116" t="str">
            <v>руб.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  <cell r="D117" t="str">
            <v>Коэфф. прод./использ. карт</v>
          </cell>
          <cell r="E117" t="str">
            <v>Input</v>
          </cell>
          <cell r="F117" t="str">
            <v>-</v>
          </cell>
        </row>
        <row r="119">
          <cell r="A119" t="str">
            <v>MMT Rate of charge on traffic</v>
          </cell>
          <cell r="D119" t="str">
            <v>Процент оплаты трафика ММТ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  <cell r="D120">
            <v>0</v>
          </cell>
          <cell r="E120" t="str">
            <v>Input</v>
          </cell>
          <cell r="F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  <cell r="D121">
            <v>100000</v>
          </cell>
          <cell r="E121" t="str">
            <v>Input</v>
          </cell>
          <cell r="F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  <cell r="D122">
            <v>120000</v>
          </cell>
          <cell r="E122" t="str">
            <v>Input</v>
          </cell>
          <cell r="F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  <cell r="D123">
            <v>140000</v>
          </cell>
          <cell r="E123" t="str">
            <v>Input</v>
          </cell>
          <cell r="F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  <cell r="D124">
            <v>180000</v>
          </cell>
          <cell r="E124" t="str">
            <v>Input</v>
          </cell>
          <cell r="F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ТАБЛИЦА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  <cell r="D4" t="str">
            <v>1.Кол-во использ. минут - итого</v>
          </cell>
          <cell r="E4" t="str">
            <v>Calc.</v>
          </cell>
          <cell r="F4" t="str">
            <v>мин.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  <cell r="D8" t="str">
            <v>2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  <cell r="D9" t="str">
            <v>3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  <cell r="D10" t="str">
            <v>4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  <cell r="D11" t="str">
            <v>5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  <cell r="D12" t="str">
            <v>6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  <cell r="D13" t="str">
            <v>7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  <cell r="D14" t="str">
            <v>8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  <cell r="D15" t="str">
            <v>9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  <cell r="D16" t="str">
            <v>10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  <cell r="D17" t="str">
            <v>11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  <cell r="D18" t="str">
            <v>12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  <cell r="D19" t="str">
            <v>13 зона международной связи</v>
          </cell>
          <cell r="E19" t="str">
            <v>Calc.</v>
          </cell>
          <cell r="F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  <cell r="D20" t="str">
            <v>14 зона международной связи</v>
          </cell>
          <cell r="E20" t="str">
            <v>Calc.</v>
          </cell>
          <cell r="F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  <cell r="D21" t="str">
            <v>15 зона международной связи</v>
          </cell>
          <cell r="E21" t="str">
            <v>Calc.</v>
          </cell>
          <cell r="F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  <cell r="D22" t="str">
            <v>16 зона международной связи</v>
          </cell>
          <cell r="E22" t="str">
            <v>Calc.</v>
          </cell>
          <cell r="F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  <cell r="D23" t="str">
            <v>17 зона международной связи</v>
          </cell>
          <cell r="E23" t="str">
            <v>Calc.</v>
          </cell>
          <cell r="F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  <cell r="D24" t="str">
            <v>18 зона международной связи</v>
          </cell>
          <cell r="E24" t="str">
            <v>Calc.</v>
          </cell>
          <cell r="F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  <cell r="D25" t="str">
            <v>-зона 19 (платные телефонные службы)</v>
          </cell>
          <cell r="F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  <cell r="D26" t="str">
            <v>-зона 20 (платные телефонные службы)</v>
          </cell>
          <cell r="F26" t="str">
            <v>%</v>
          </cell>
        </row>
        <row r="28">
          <cell r="A28" t="str">
            <v>3.# of transactions - total</v>
          </cell>
          <cell r="D28" t="str">
            <v>3.Кол-во разговоров - итого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  <cell r="D29" t="str">
            <v>Местная связь</v>
          </cell>
          <cell r="E29" t="str">
            <v>Calc.</v>
          </cell>
          <cell r="F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  <cell r="D30" t="str">
            <v>2 зона междугородней связи</v>
          </cell>
          <cell r="E30" t="str">
            <v>Calc.</v>
          </cell>
          <cell r="F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  <cell r="D31" t="str">
            <v>3 зона междугородней связи</v>
          </cell>
          <cell r="E31" t="str">
            <v>Calc.</v>
          </cell>
          <cell r="F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  <cell r="D32" t="str">
            <v>4 зона междугородней связи</v>
          </cell>
          <cell r="E32" t="str">
            <v>Calc.</v>
          </cell>
          <cell r="F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  <cell r="D33" t="str">
            <v>5 зона междугородней связи</v>
          </cell>
          <cell r="E33" t="str">
            <v>Calc.</v>
          </cell>
          <cell r="F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  <cell r="D34" t="str">
            <v>6 зона междугородней связи</v>
          </cell>
          <cell r="E34" t="str">
            <v>Calc.</v>
          </cell>
          <cell r="F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  <cell r="D35" t="str">
            <v>7 зона междугородней связи</v>
          </cell>
          <cell r="E35" t="str">
            <v>Calc.</v>
          </cell>
          <cell r="F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  <cell r="D36" t="str">
            <v>8 зона международной связи</v>
          </cell>
          <cell r="E36" t="str">
            <v>Calc.</v>
          </cell>
          <cell r="F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  <cell r="D37" t="str">
            <v>9 зона международной связи</v>
          </cell>
          <cell r="E37" t="str">
            <v>Calc.</v>
          </cell>
          <cell r="F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  <cell r="D38" t="str">
            <v>10 зона международной связи</v>
          </cell>
          <cell r="E38" t="str">
            <v>Calc.</v>
          </cell>
          <cell r="F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  <cell r="D39" t="str">
            <v>11 зона международной связи</v>
          </cell>
          <cell r="E39" t="str">
            <v>Calc.</v>
          </cell>
          <cell r="F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  <cell r="D40" t="str">
            <v>12 зона международной связи</v>
          </cell>
          <cell r="E40" t="str">
            <v>Calc.</v>
          </cell>
          <cell r="F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  <cell r="D41" t="str">
            <v>13 зона международной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  <cell r="D42" t="str">
            <v>14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  <cell r="D43" t="str">
            <v>15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  <cell r="D44" t="str">
            <v>16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  <cell r="D45" t="str">
            <v>17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  <cell r="D46" t="str">
            <v>18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  <cell r="D47" t="str">
            <v>-зона 19 (платные телефонные службы)</v>
          </cell>
          <cell r="F47" t="str">
            <v>-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  <cell r="D48" t="str">
            <v>-зона 20 (платные телефонные службы)</v>
          </cell>
          <cell r="F48" t="str">
            <v>-</v>
          </cell>
        </row>
        <row r="50">
          <cell r="A50" t="str">
            <v>4. # of units used - total</v>
          </cell>
          <cell r="D50" t="str">
            <v>4. Кол-во использ. единиц - итого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  <cell r="D51" t="str">
            <v>Местная связь</v>
          </cell>
          <cell r="E51" t="str">
            <v>Calc.</v>
          </cell>
          <cell r="F51" t="str">
            <v>т.е.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  <cell r="D52" t="str">
            <v>2 зона междугородней связи</v>
          </cell>
          <cell r="E52" t="str">
            <v>Calc.</v>
          </cell>
          <cell r="F52" t="str">
            <v>т.е.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  <cell r="D53" t="str">
            <v>3 зона междугородней связи</v>
          </cell>
          <cell r="E53" t="str">
            <v>Calc.</v>
          </cell>
          <cell r="F53" t="str">
            <v>т.е.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  <cell r="D54" t="str">
            <v>4 зона междугородней связи</v>
          </cell>
          <cell r="E54" t="str">
            <v>Calc.</v>
          </cell>
          <cell r="F54" t="str">
            <v>т.е.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  <cell r="D55" t="str">
            <v>5 зона междугородней связи</v>
          </cell>
          <cell r="E55" t="str">
            <v>Calc.</v>
          </cell>
          <cell r="F55" t="str">
            <v>т.е.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  <cell r="D56" t="str">
            <v>6 зона междугородней связи</v>
          </cell>
          <cell r="E56" t="str">
            <v>Calc.</v>
          </cell>
          <cell r="F56" t="str">
            <v>т.е.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  <cell r="D57" t="str">
            <v>7 зона междугородней связи</v>
          </cell>
          <cell r="E57" t="str">
            <v>Calc.</v>
          </cell>
          <cell r="F57" t="str">
            <v>т.е.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  <cell r="D58" t="str">
            <v>8 зона международной связи</v>
          </cell>
          <cell r="E58" t="str">
            <v>Calc.</v>
          </cell>
          <cell r="F58" t="str">
            <v>т.е.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  <cell r="D59" t="str">
            <v>9 зона международной связи</v>
          </cell>
          <cell r="E59" t="str">
            <v>Calc.</v>
          </cell>
          <cell r="F59" t="str">
            <v>т.е.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  <cell r="D60" t="str">
            <v>10 зона международной связи</v>
          </cell>
          <cell r="E60" t="str">
            <v>Calc.</v>
          </cell>
          <cell r="F60" t="str">
            <v>т.е.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  <cell r="D61" t="str">
            <v>11 зона международной связи</v>
          </cell>
          <cell r="E61" t="str">
            <v>Calc.</v>
          </cell>
          <cell r="F61" t="str">
            <v>т.е.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  <cell r="D62" t="str">
            <v>12 зона международной связи</v>
          </cell>
          <cell r="E62" t="str">
            <v>Calc.</v>
          </cell>
          <cell r="F62" t="str">
            <v>т.е.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  <cell r="D63" t="str">
            <v>13 зона международной связи</v>
          </cell>
          <cell r="E63" t="str">
            <v>Calc.</v>
          </cell>
          <cell r="F63" t="str">
            <v>т.е.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  <cell r="D64" t="str">
            <v>14 зона международной связи</v>
          </cell>
          <cell r="E64" t="str">
            <v>Calc.</v>
          </cell>
          <cell r="F64" t="str">
            <v>т.е.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  <cell r="D65" t="str">
            <v>15 зона международной связи</v>
          </cell>
          <cell r="E65" t="str">
            <v>Calc.</v>
          </cell>
          <cell r="F65" t="str">
            <v>т.е.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  <cell r="D66" t="str">
            <v>16 зона международной связи</v>
          </cell>
          <cell r="E66" t="str">
            <v>Calc.</v>
          </cell>
          <cell r="F66" t="str">
            <v>т.е.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  <cell r="D67" t="str">
            <v>17 зона международной связи</v>
          </cell>
          <cell r="E67" t="str">
            <v>Calc.</v>
          </cell>
          <cell r="F67" t="str">
            <v>т.е.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  <cell r="D68" t="str">
            <v>18 зона международной связи</v>
          </cell>
          <cell r="E68" t="str">
            <v>Calc.</v>
          </cell>
          <cell r="F68" t="str">
            <v>т.е.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  <cell r="D69" t="str">
            <v>-зона 19 (платные телефонные службы)</v>
          </cell>
          <cell r="F69" t="str">
            <v>т.е.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  <cell r="D70" t="str">
            <v>-зона 20 (платные телефонные службы)</v>
          </cell>
          <cell r="F70" t="str">
            <v>т.е.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  <cell r="D71" t="str">
            <v>Итого по междугородней связи</v>
          </cell>
          <cell r="E71" t="str">
            <v>Calc.</v>
          </cell>
          <cell r="F71" t="str">
            <v>т.е.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  <cell r="D72" t="str">
            <v>Итого по международной связи</v>
          </cell>
          <cell r="E72" t="str">
            <v>Calc.</v>
          </cell>
          <cell r="F72" t="str">
            <v>т.е.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  <cell r="D73" t="str">
            <v>ИТОГО</v>
          </cell>
          <cell r="E73" t="str">
            <v>Calc.</v>
          </cell>
          <cell r="F73" t="str">
            <v>т.е.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  <cell r="D75" t="str">
            <v>Тарифных единиц на таксофон</v>
          </cell>
          <cell r="E75" t="str">
            <v>Calc.</v>
          </cell>
          <cell r="F75" t="str">
            <v>т.е.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  <cell r="D77" t="str">
            <v>5a. Оплата услуг ПТС, вкл.НДС</v>
          </cell>
          <cell r="E77" t="str">
            <v>Calc.</v>
          </cell>
          <cell r="F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  <cell r="D78" t="str">
            <v>5b. Оплата услуг ПТС, вкл.НДС</v>
          </cell>
          <cell r="F78" t="str">
            <v>rbl</v>
          </cell>
        </row>
        <row r="80">
          <cell r="A80" t="str">
            <v>6. Long-distance costs, incl. VAT</v>
          </cell>
          <cell r="D80" t="str">
            <v>6. Оплата дальнего трафика, вкл.НДС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  <cell r="D81" t="str">
            <v>2 зона междугородней связи</v>
          </cell>
          <cell r="E81" t="str">
            <v>Calc.</v>
          </cell>
          <cell r="F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  <cell r="D82" t="str">
            <v>3 зона междугородней связи</v>
          </cell>
          <cell r="E82" t="str">
            <v>Calc.</v>
          </cell>
          <cell r="F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  <cell r="D83" t="str">
            <v>4 зона междугородней связи</v>
          </cell>
          <cell r="E83" t="str">
            <v>Calc.</v>
          </cell>
          <cell r="F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  <cell r="D84" t="str">
            <v>5 зона междугородней связи</v>
          </cell>
          <cell r="E84" t="str">
            <v>Calc.</v>
          </cell>
          <cell r="F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  <cell r="D85" t="str">
            <v>6 зона междугородней связи</v>
          </cell>
          <cell r="E85" t="str">
            <v>Calc.</v>
          </cell>
          <cell r="F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  <cell r="D86" t="str">
            <v>7 зона междугородней связи</v>
          </cell>
          <cell r="E86" t="str">
            <v>Calc.</v>
          </cell>
          <cell r="F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  <cell r="D87" t="str">
            <v>8 зона международной связи</v>
          </cell>
          <cell r="E87" t="str">
            <v>Calc.</v>
          </cell>
          <cell r="F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  <cell r="D88" t="str">
            <v>9 зона международной связи</v>
          </cell>
          <cell r="E88" t="str">
            <v>Calc.</v>
          </cell>
          <cell r="F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  <cell r="D89" t="str">
            <v>10 зона международной связи</v>
          </cell>
          <cell r="E89" t="str">
            <v>Calc.</v>
          </cell>
          <cell r="F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  <cell r="D90" t="str">
            <v>11 зона международной связи</v>
          </cell>
          <cell r="E90" t="str">
            <v>Calc.</v>
          </cell>
          <cell r="F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  <cell r="D91" t="str">
            <v>12 зона международной связи</v>
          </cell>
          <cell r="E91" t="str">
            <v>Calc.</v>
          </cell>
          <cell r="F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  <cell r="D92" t="str">
            <v>13 зона международной связи</v>
          </cell>
          <cell r="E92" t="str">
            <v>Calc.</v>
          </cell>
          <cell r="F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  <cell r="D93" t="str">
            <v>14 зона международной связи</v>
          </cell>
          <cell r="E93" t="str">
            <v>Calc.</v>
          </cell>
          <cell r="F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  <cell r="D94" t="str">
            <v>15 зона международной связи</v>
          </cell>
          <cell r="E94" t="str">
            <v>Calc.</v>
          </cell>
          <cell r="F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  <cell r="D95" t="str">
            <v>16 зона международной связи</v>
          </cell>
          <cell r="E95" t="str">
            <v>Calc.</v>
          </cell>
          <cell r="F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  <cell r="D96" t="str">
            <v>17 зона международной связи</v>
          </cell>
          <cell r="E96" t="str">
            <v>Calc.</v>
          </cell>
          <cell r="F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  <cell r="D97" t="str">
            <v>18 зона международной связи</v>
          </cell>
          <cell r="E97" t="str">
            <v>Calc.</v>
          </cell>
          <cell r="F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  <cell r="D98" t="str">
            <v>Итого по междугородней связи</v>
          </cell>
          <cell r="E98" t="str">
            <v>Calc.</v>
          </cell>
          <cell r="F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  <cell r="D99" t="str">
            <v>Итого по международной связи</v>
          </cell>
          <cell r="E99" t="str">
            <v>Calc.</v>
          </cell>
          <cell r="F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  <cell r="D100" t="str">
            <v>Итого к оплате за дальний трафик</v>
          </cell>
          <cell r="E100" t="str">
            <v>Calc.</v>
          </cell>
          <cell r="F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  <cell r="D101" t="str">
            <v>Итого к оплате "ВЕБ-Плас"</v>
          </cell>
          <cell r="E101" t="str">
            <v>Calc.</v>
          </cell>
          <cell r="F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  <cell r="D103" t="str">
            <v>7. Местный трафик через сеть "ПетерСтар"</v>
          </cell>
          <cell r="E103" t="str">
            <v>Input</v>
          </cell>
          <cell r="F103" t="str">
            <v>мин.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  <cell r="D104" t="str">
            <v>Тариф за 1 мин. (с НДС)</v>
          </cell>
          <cell r="E104" t="str">
            <v>Input</v>
          </cell>
          <cell r="F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  <cell r="D105" t="str">
            <v>Оплата услуг "ПетерСтар" (с НДС)</v>
          </cell>
          <cell r="E105" t="str">
            <v>Calc.</v>
          </cell>
          <cell r="F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  <cell r="D106" t="str">
            <v>Трафик бумажных карт</v>
          </cell>
          <cell r="E106" t="str">
            <v>Calc.</v>
          </cell>
          <cell r="F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  <cell r="D107" t="str">
            <v>Трафик Васильевского острова (вкл. НДС)</v>
          </cell>
          <cell r="E107" t="str">
            <v>Calc.</v>
          </cell>
          <cell r="F107" t="str">
            <v>$</v>
          </cell>
        </row>
        <row r="109">
          <cell r="A109" t="str">
            <v>8. Metrocom local traffic</v>
          </cell>
          <cell r="C109" t="str">
            <v>units</v>
          </cell>
          <cell r="D109" t="str">
            <v>8.  Местный трафик "Метроком"</v>
          </cell>
          <cell r="F109" t="str">
            <v>т.е.</v>
          </cell>
        </row>
        <row r="110">
          <cell r="A110" t="str">
            <v>Average unit price, incl. VAT</v>
          </cell>
          <cell r="C110" t="str">
            <v>$</v>
          </cell>
          <cell r="D110" t="str">
            <v>Ср.цена тарифной ед. вкл.НДС</v>
          </cell>
          <cell r="F110" t="str">
            <v>$</v>
          </cell>
        </row>
        <row r="111">
          <cell r="A111" t="str">
            <v>Metrocom costs incl.VAT</v>
          </cell>
          <cell r="C111" t="str">
            <v>$</v>
          </cell>
          <cell r="D111" t="str">
            <v>Оплата трафика "Метроком" (с НДС)</v>
          </cell>
          <cell r="F111" t="str">
            <v>$</v>
          </cell>
        </row>
        <row r="113">
          <cell r="A113" t="str">
            <v>9. Other traffic payments</v>
          </cell>
          <cell r="D113" t="str">
            <v>9. Оплата прочего трафика</v>
          </cell>
        </row>
        <row r="114">
          <cell r="A114" t="str">
            <v>Traffic payments</v>
          </cell>
          <cell r="D114" t="str">
            <v>Оплата трафика</v>
          </cell>
          <cell r="F114" t="str">
            <v>$</v>
          </cell>
        </row>
        <row r="115">
          <cell r="A115" t="str">
            <v>Barter payments (cards)</v>
          </cell>
          <cell r="D115" t="str">
            <v>Взаимозачеты по картам</v>
          </cell>
          <cell r="F115" t="str">
            <v>$</v>
          </cell>
        </row>
        <row r="116">
          <cell r="A116" t="str">
            <v>Total</v>
          </cell>
          <cell r="D116" t="str">
            <v>Всего</v>
          </cell>
        </row>
        <row r="118">
          <cell r="A118" t="str">
            <v>10. Traffic trends</v>
          </cell>
          <cell r="D118" t="str">
            <v>9. ТЕНДЕНЦИИ ТРАФИКА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  <cell r="D119" t="str">
            <v>-Местный</v>
          </cell>
          <cell r="E119" t="str">
            <v>Input</v>
          </cell>
          <cell r="F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  <cell r="D120" t="str">
            <v>-Междугородный</v>
          </cell>
          <cell r="E120" t="str">
            <v>Input</v>
          </cell>
          <cell r="F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  <cell r="D121" t="str">
            <v>-Международный</v>
          </cell>
          <cell r="E121" t="str">
            <v>Input</v>
          </cell>
          <cell r="F121" t="str">
            <v>%</v>
          </cell>
        </row>
        <row r="123">
          <cell r="A123" t="str">
            <v>11. Traffic in min</v>
          </cell>
          <cell r="D123" t="str">
            <v>10. ТРАФИК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  <cell r="D124" t="str">
            <v>-Местный</v>
          </cell>
          <cell r="E124" t="str">
            <v>Calc.</v>
          </cell>
          <cell r="F124" t="str">
            <v>мин.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  <cell r="D125" t="str">
            <v>-Междугородный</v>
          </cell>
          <cell r="E125" t="str">
            <v>Calc.</v>
          </cell>
          <cell r="F125" t="str">
            <v>мин.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  <cell r="D126" t="str">
            <v>-Международный</v>
          </cell>
          <cell r="E126" t="str">
            <v>Calc.</v>
          </cell>
          <cell r="F126" t="str">
            <v>мин.</v>
          </cell>
        </row>
        <row r="152">
          <cell r="D152" t="str">
            <v>Трафик от обычных таксофонов</v>
          </cell>
        </row>
        <row r="153">
          <cell r="D153" t="str">
            <v>-Междугородный</v>
          </cell>
        </row>
        <row r="154">
          <cell r="D154" t="str">
            <v>-Международный</v>
          </cell>
        </row>
        <row r="156">
          <cell r="D156" t="str">
            <v>Процент увеличения трафика от дайлеров</v>
          </cell>
        </row>
        <row r="157">
          <cell r="D157" t="str">
            <v>-Междугородный</v>
          </cell>
        </row>
        <row r="158">
          <cell r="D158" t="str">
            <v>-Международный</v>
          </cell>
        </row>
        <row r="160">
          <cell r="D160" t="str">
            <v>Кол-во новых таксофонов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  <cell r="D161" t="str">
            <v>Рост трафика после установки</v>
          </cell>
        </row>
        <row r="162">
          <cell r="D162" t="str">
            <v xml:space="preserve">трафик комби-таксофонов </v>
          </cell>
          <cell r="F162" t="str">
            <v>мин</v>
          </cell>
        </row>
        <row r="163">
          <cell r="A163" t="str">
            <v>-Local</v>
          </cell>
          <cell r="D163" t="str">
            <v>-Местный</v>
          </cell>
          <cell r="E163" t="str">
            <v>Calc.</v>
          </cell>
          <cell r="F163" t="str">
            <v>мин.</v>
          </cell>
        </row>
        <row r="164">
          <cell r="A164" t="str">
            <v>-National</v>
          </cell>
          <cell r="D164" t="str">
            <v>-Междугородный</v>
          </cell>
          <cell r="E164" t="str">
            <v>Calc.</v>
          </cell>
          <cell r="F164" t="str">
            <v>мин.</v>
          </cell>
        </row>
        <row r="165">
          <cell r="A165" t="str">
            <v>-International</v>
          </cell>
          <cell r="D165" t="str">
            <v>-Международный</v>
          </cell>
          <cell r="E165" t="str">
            <v>Calc.</v>
          </cell>
          <cell r="F165" t="str">
            <v>мин.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">
          <cell r="A3" t="str">
            <v>TABLE 4</v>
          </cell>
        </row>
      </sheetData>
      <sheetData sheetId="79">
        <row r="3">
          <cell r="A3" t="str">
            <v>TABLE 5</v>
          </cell>
        </row>
      </sheetData>
      <sheetData sheetId="80">
        <row r="3">
          <cell r="A3" t="str">
            <v>TABLE 6</v>
          </cell>
        </row>
      </sheetData>
      <sheetData sheetId="81">
        <row r="3">
          <cell r="A3" t="str">
            <v>TABLE 6</v>
          </cell>
        </row>
      </sheetData>
      <sheetData sheetId="82">
        <row r="3">
          <cell r="A3" t="str">
            <v>TABLE 5</v>
          </cell>
        </row>
      </sheetData>
      <sheetData sheetId="83">
        <row r="3">
          <cell r="A3" t="str">
            <v>TABLE 6</v>
          </cell>
        </row>
      </sheetData>
      <sheetData sheetId="84">
        <row r="3">
          <cell r="A3" t="str">
            <v>TABLE 6</v>
          </cell>
        </row>
      </sheetData>
      <sheetData sheetId="85">
        <row r="3">
          <cell r="A3" t="str">
            <v>TABLE 6</v>
          </cell>
        </row>
      </sheetData>
      <sheetData sheetId="86">
        <row r="3">
          <cell r="A3" t="str">
            <v>TABLE 6</v>
          </cell>
        </row>
      </sheetData>
      <sheetData sheetId="87">
        <row r="3">
          <cell r="A3" t="str">
            <v>TABLE 6</v>
          </cell>
        </row>
      </sheetData>
      <sheetData sheetId="88">
        <row r="3">
          <cell r="A3" t="str">
            <v>TABLE 6</v>
          </cell>
        </row>
      </sheetData>
      <sheetData sheetId="89">
        <row r="3">
          <cell r="A3" t="str">
            <v>TABLE 6</v>
          </cell>
        </row>
      </sheetData>
      <sheetData sheetId="90">
        <row r="3">
          <cell r="A3" t="str">
            <v>TABLE 6</v>
          </cell>
        </row>
      </sheetData>
      <sheetData sheetId="91">
        <row r="3">
          <cell r="A3" t="str">
            <v>TABLE 5</v>
          </cell>
        </row>
      </sheetData>
      <sheetData sheetId="92">
        <row r="3">
          <cell r="A3" t="str">
            <v>TABLE 6</v>
          </cell>
        </row>
      </sheetData>
      <sheetData sheetId="93"/>
      <sheetData sheetId="94">
        <row r="3">
          <cell r="A3" t="str">
            <v>TABLE 6</v>
          </cell>
        </row>
      </sheetData>
      <sheetData sheetId="95"/>
      <sheetData sheetId="96">
        <row r="3">
          <cell r="A3" t="str">
            <v>TABLE 6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АО Газстройпроект</v>
          </cell>
        </row>
      </sheetData>
      <sheetData sheetId="104"/>
      <sheetData sheetId="105"/>
      <sheetData sheetId="106"/>
      <sheetData sheetId="107">
        <row r="1">
          <cell r="C1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3">
          <cell r="A3" t="str">
            <v>TABLE 4</v>
          </cell>
        </row>
      </sheetData>
      <sheetData sheetId="139">
        <row r="3">
          <cell r="A3" t="str">
            <v>TABLE 5</v>
          </cell>
        </row>
      </sheetData>
      <sheetData sheetId="140">
        <row r="3">
          <cell r="A3" t="str">
            <v>TABLE 6</v>
          </cell>
        </row>
      </sheetData>
      <sheetData sheetId="141">
        <row r="3">
          <cell r="A3" t="str">
            <v>TABLE 6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KEY"/>
      <sheetName val="Данные"/>
      <sheetName val="REPORT"/>
      <sheetName val="SENSITIVITY"/>
      <sheetName val="TRAFFIC CALC"/>
      <sheetName val="TRAFFIC PARM"/>
      <sheetName val="ECONOMIC DATA"/>
      <sheetName val="Data Sheet"/>
      <sheetName val="CSCCincSKR"/>
      <sheetName val="Proforma"/>
      <sheetName val="Payroll"/>
      <sheetName val="осв ОАО (2)"/>
      <sheetName val="BS"/>
      <sheetName val="Сценарии"/>
      <sheetName val="ФД"/>
      <sheetName val="Lib"/>
      <sheetName val="Прогноз декабрь апрель 2004"/>
      <sheetName val="InpC"/>
      <sheetName val="XLR_NoRangeSheet"/>
      <sheetName val="трансформация1"/>
      <sheetName val="Control"/>
      <sheetName val="Settl.Finanacing"/>
      <sheetName val="P&amp;L"/>
      <sheetName val="Баланс hti"/>
      <sheetName val="кфп-с-м2м 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MEX95IB"/>
      <sheetName val="WIVRA"/>
      <sheetName val="Data_CF"/>
      <sheetName val="SAS TB 6m2006"/>
      <sheetName val="Справочник статей"/>
      <sheetName val="ДИН2014"/>
      <sheetName val="Информация"/>
      <sheetName val=" "/>
      <sheetName val="Гренобль Ту-204"/>
      <sheetName val="Dropdown list"/>
      <sheetName val="Прайс Лист"/>
      <sheetName val="оглавление"/>
      <sheetName val="Список регионов"/>
      <sheetName val="Выпадающие списки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EBITDA Bridges v Budget"/>
      <sheetName val="indicative ref margin"/>
      <sheetName val="SAD"/>
      <sheetName val="ИСХОДНИК"/>
      <sheetName val="Sub group code &amp; Name"/>
      <sheetName val="Input_Assumptions"/>
      <sheetName val="Bendra"/>
      <sheetName val="S 60"/>
      <sheetName val="Заказы"/>
      <sheetName val=""/>
      <sheetName val="Прогноз%20декабрь%20апрель%2020"/>
      <sheetName val="Total Revenue"/>
      <sheetName val="Справочник"/>
      <sheetName val="Adjustment schedule"/>
      <sheetName val="тех.лист"/>
      <sheetName val="Rates"/>
      <sheetName val="фасады общий"/>
      <sheetName val="Справочник МВЗ"/>
      <sheetName val="Справочник ДДС"/>
      <sheetName val="Segmental Analysis"/>
      <sheetName val="CPS &amp; CbC"/>
      <sheetName val="Счетчик вопросов"/>
      <sheetName val="Справочники"/>
      <sheetName val="Date 2"/>
      <sheetName val="schsts"/>
      <sheetName val="Year 3"/>
      <sheetName val="ITALIANS"/>
      <sheetName val="Segment_OIBDA"/>
      <sheetName val="Service"/>
      <sheetName val="ВГО"/>
      <sheetName val="Лист"/>
      <sheetName val="Факт Dink-Inv 2004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Data_Sheet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Справочник_статей"/>
      <sheetName val="_"/>
      <sheetName val="РИСКИ 2010"/>
      <sheetName val="РИСКИ2011"/>
      <sheetName val="Справочник статей БУ "/>
      <sheetName val="Ставка"/>
      <sheetName val="списки"/>
      <sheetName val="АТСи"/>
      <sheetName val="Прайс_Лист"/>
      <sheetName val="Гренобль_Ту-204"/>
      <sheetName val="Dropdown_list"/>
      <sheetName val="Список_регионов"/>
      <sheetName val="Выпадающие_списки"/>
      <sheetName val="Направления деятельности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СВОДНАЯ 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3. 2013 - перенос на ПМТВ"/>
      <sheetName val="Imputed %"/>
      <sheetName val="Lib BS"/>
      <sheetName val="Список компаний группы"/>
      <sheetName val="Global"/>
      <sheetName val="устр-во опорное"/>
      <sheetName val="Круг 6 листов "/>
      <sheetName val="i-network capex costs"/>
      <sheetName val="ЧМЗ Budget"/>
      <sheetName val="1997 fin. res."/>
      <sheetName val="exch. rates"/>
      <sheetName val="саратов (2)"/>
      <sheetName val="XREF"/>
      <sheetName val="comps"/>
      <sheetName val="лист1"/>
      <sheetName val="Макропараметры"/>
      <sheetName val="Macro&amp;general assump"/>
      <sheetName val="Damodaran Industry Beta 2015"/>
      <sheetName val="Debt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П"/>
      <sheetName val="natl consult reg."/>
      <sheetName val="cus_HK1033"/>
      <sheetName val="Client Information"/>
      <sheetName val="Тех. реализация"/>
      <sheetName val="Control_ЦБО"/>
      <sheetName val="3.INP-GEN"/>
      <sheetName val="2.INP-Timeline"/>
      <sheetName val="1.INP-Scenario"/>
      <sheetName val="Чернигов"/>
      <sheetName val="Reconciliation"/>
      <sheetName val="usage_assumption"/>
      <sheetName val="Dir"/>
      <sheetName val="macro"/>
      <sheetName val="$Out_For_Database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Нормативы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LSE_Trading Data"/>
      <sheetName val="Analysis_Graph"/>
      <sheetName val="с.660"/>
      <sheetName val="ДФВ"/>
      <sheetName val="CurRates"/>
      <sheetName val="Menu"/>
      <sheetName val="Income"/>
      <sheetName val="COST-TZ"/>
      <sheetName val="INP"/>
      <sheetName val="%D0%9F%D1%80%D0%BE%D0%B3%D0%BD%"/>
      <sheetName val="СТ ОЭ"/>
      <sheetName val="Q 2"/>
      <sheetName val="Validation Tables"/>
      <sheetName val="Lots1127"/>
      <sheetName val="Adjustment_schedule"/>
      <sheetName val="Total_Revenue"/>
      <sheetName val="Sub_group_code_&amp;_Name"/>
      <sheetName val="тех_лист"/>
      <sheetName val="PL.2013.01"/>
      <sheetName val="Доп инфо"/>
      <sheetName val="ОСВ"/>
      <sheetName val="EBITDA Bridge"/>
      <sheetName val="IVA Estimado"/>
      <sheetName val="산근"/>
      <sheetName val="Общ"/>
      <sheetName val="갑지"/>
      <sheetName val="Katsayılar"/>
      <sheetName val="a) Core Financials"/>
      <sheetName val="Все статьи"/>
      <sheetName val="VKPM"/>
      <sheetName val="FA rollforward Bank"/>
      <sheetName val="dic"/>
      <sheetName val="СтрЗапасов (2)"/>
      <sheetName val="sapactivexlhiddensheet"/>
      <sheetName val="Data"/>
      <sheetName val="ExchRate"/>
      <sheetName val="Controls"/>
      <sheetName val="Авансы по СНГ"/>
      <sheetName val="IncStat 03-04"/>
      <sheetName val="IncStat 03  "/>
      <sheetName val="11"/>
      <sheetName val="regs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Прайс_Лист1"/>
      <sheetName val="Список_регионов1"/>
      <sheetName val="Справочник_статей1"/>
      <sheetName val="_1"/>
      <sheetName val="Выпадающие_списки1"/>
      <sheetName val="indicative_ref_margin5"/>
      <sheetName val="Гренобль_Ту-2041"/>
      <sheetName val="Dropdown_list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Справочник_статей_БУ_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Справочник_МВЗ"/>
      <sheetName val="Справочник_ДДС"/>
      <sheetName val="Тех__реализация"/>
      <sheetName val="natl_consult_reg_"/>
      <sheetName val="Macro&amp;general_assump"/>
      <sheetName val="Damodaran_Industry_Beta_2015"/>
      <sheetName val="Факт_Dink-Inv_2004"/>
      <sheetName val="Прочие_ДиР"/>
      <sheetName val="BS_ГК_МТ"/>
      <sheetName val="PL_ГК_МТ"/>
      <sheetName val="IFRS_corr"/>
      <sheetName val="Свод_&quot;К&quot;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2_INP-Timeline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FIXED_ASSETS"/>
      <sheetName val="SETTL_-_RBL"/>
      <sheetName val="SETTL_-_USD"/>
      <sheetName val="SPARES_-_BOOTHS"/>
      <sheetName val="SPARES_-_PAYPHONES"/>
      <sheetName val="Счетчик_вопросов"/>
      <sheetName val="Client_Information"/>
      <sheetName val="с_660"/>
      <sheetName val="устр-во_опорное"/>
      <sheetName val="Круг_6_листов_"/>
      <sheetName val="СТ_ОЭ"/>
      <sheetName val="PL_2013_01"/>
      <sheetName val="Validation_Tables"/>
      <sheetName val="1997_fin__res_"/>
      <sheetName val="exch__rates"/>
      <sheetName val="MD"/>
      <sheetName val="ГК лохл"/>
      <sheetName val="FS Consol"/>
      <sheetName val="Division - Dairy"/>
      <sheetName val="Division - Juice"/>
      <sheetName val="D"/>
      <sheetName val="Input"/>
      <sheetName val="merger"/>
      <sheetName val="Продажа. Рынок РФ"/>
      <sheetName val="key drivers"/>
      <sheetName val="Лист2"/>
      <sheetName val="Variables"/>
      <sheetName val="Sample"/>
      <sheetName val="Отчет о реализации площадей"/>
      <sheetName val="ADJUST"/>
      <sheetName val="울산시산표"/>
      <sheetName val="info"/>
      <sheetName val="Parms"/>
      <sheetName val="CA1"/>
      <sheetName val="Ind. Budget"/>
      <sheetName val="S&amp;U"/>
      <sheetName val="fired heaters"/>
      <sheetName val="sum"/>
      <sheetName val="1"/>
      <sheetName val="Cat A Change Control"/>
      <sheetName val="Construction"/>
      <sheetName val="Time"/>
      <sheetName val="GLC_ratios_Jun"/>
      <sheetName val="Прогноз_декабрь_апрель_20043"/>
      <sheetName val="Баланс_hti2"/>
      <sheetName val="кфп-с-м2м_2"/>
      <sheetName val="Settl_Finanacing2"/>
      <sheetName val="Соответствие_статей_БДР-ДДС2"/>
      <sheetName val="Breakdown_AR2"/>
      <sheetName val="SAS_TB_6m20062"/>
      <sheetName val="Справочник_статей2"/>
      <sheetName val="_2"/>
      <sheetName val="Гренобль_Ту-2042"/>
      <sheetName val="Dropdown_list2"/>
      <sheetName val="Прайс_Лист2"/>
      <sheetName val="Список_регионов2"/>
      <sheetName val="Выпадающие_списки2"/>
      <sheetName val="Справочник_МВЗ1"/>
      <sheetName val="Справочник_ДДС1"/>
      <sheetName val="EBITDA_Bridges_v_Budget1"/>
      <sheetName val="Date_21"/>
      <sheetName val="Segmental_Analysis1"/>
      <sheetName val="CPS_&amp;_CbC1"/>
      <sheetName val="Справочник_статей_БУ_1"/>
      <sheetName val="TRAFFIC_CALC3"/>
      <sheetName val="TRAFFIC_PARM3"/>
      <sheetName val="ECONOMIC_DATA3"/>
      <sheetName val="Data_Sheet3"/>
      <sheetName val="осв_ОАО_(2)3"/>
      <sheetName val="Прогноз_декабрь_апрель_20044"/>
      <sheetName val="Баланс_hti3"/>
      <sheetName val="кфп-с-м2м_3"/>
      <sheetName val="Settl_Finanacing3"/>
      <sheetName val="Соответствие_статей_БДР-ДДС3"/>
      <sheetName val="Breakdown_AR3"/>
      <sheetName val="SAS_TB_6m20063"/>
      <sheetName val="Справочник_статей3"/>
      <sheetName val="_3"/>
      <sheetName val="Гренобль_Ту-2043"/>
      <sheetName val="Dropdown_list3"/>
      <sheetName val="Прайс_Лист3"/>
      <sheetName val="Список_регионов3"/>
      <sheetName val="Выпадающие_списки3"/>
      <sheetName val="S_602"/>
      <sheetName val="Total_Revenue2"/>
      <sheetName val="BS_Act_by_month2"/>
      <sheetName val="CF_act2"/>
      <sheetName val="CF_BB2"/>
      <sheetName val="P&amp;L_Act_month2"/>
      <sheetName val="P&amp;L_BB_month2"/>
      <sheetName val="Sub_group_code_&amp;_Name2"/>
      <sheetName val="Adjustment_schedule2"/>
      <sheetName val="Справочник_МВЗ2"/>
      <sheetName val="Справочник_ДДС2"/>
      <sheetName val="EBITDA_Bridges_v_Budget2"/>
      <sheetName val="Date_22"/>
      <sheetName val="Segmental_Analysis2"/>
      <sheetName val="CPS_&amp;_CbC2"/>
      <sheetName val="Справочник_статей_БУ_2"/>
      <sheetName val="TRAFFIC_CALC4"/>
      <sheetName val="TRAFFIC_PARM4"/>
      <sheetName val="ECONOMIC_DATA4"/>
      <sheetName val="Data_Sheet4"/>
      <sheetName val="осв_ОАО_(2)4"/>
      <sheetName val="Прогноз_декабрь_апрель_20045"/>
      <sheetName val="Баланс_hti4"/>
      <sheetName val="кфп-с-м2м_4"/>
      <sheetName val="Settl_Finanacing4"/>
      <sheetName val="Соответствие_статей_БДР-ДДС4"/>
      <sheetName val="Breakdown_AR4"/>
      <sheetName val="SAS_TB_6m20064"/>
      <sheetName val="Справочник_статей4"/>
      <sheetName val="_4"/>
      <sheetName val="Гренобль_Ту-2044"/>
      <sheetName val="Dropdown_list4"/>
      <sheetName val="Прайс_Лист4"/>
      <sheetName val="Список_регионов4"/>
      <sheetName val="Выпадающие_списки4"/>
      <sheetName val="S_603"/>
      <sheetName val="Total_Revenue3"/>
      <sheetName val="BS_Act_by_month3"/>
      <sheetName val="CF_act3"/>
      <sheetName val="CF_BB3"/>
      <sheetName val="P&amp;L_Act_month3"/>
      <sheetName val="P&amp;L_BB_month3"/>
      <sheetName val="Sub_group_code_&amp;_Name3"/>
      <sheetName val="Adjustment_schedule3"/>
      <sheetName val="Справочник_МВЗ3"/>
      <sheetName val="Справочник_ДДС3"/>
      <sheetName val="EBITDA_Bridges_v_Budget3"/>
      <sheetName val="Date_23"/>
      <sheetName val="Segmental_Analysis3"/>
      <sheetName val="CPS_&amp;_CbC3"/>
      <sheetName val="Справочник_статей_БУ_3"/>
      <sheetName val="lists"/>
      <sheetName val="journals"/>
      <sheetName val="cover"/>
      <sheetName val="Список_групп"/>
      <sheetName val="Data USA Cdn$"/>
      <sheetName val="Data USA US$"/>
      <sheetName val="back up Share Performance"/>
      <sheetName val="Лист11 (2)"/>
      <sheetName val="Лист11"/>
      <sheetName val="Sheet92"/>
      <sheetName val="Cash-Flow"/>
      <sheetName val="ОПУ"/>
      <sheetName val="Исходные данные"/>
      <sheetName val="Справочник для ФЭИ"/>
      <sheetName val="вспомогательные таблицы"/>
      <sheetName val="НДС"/>
      <sheetName val="Вид деятельности"/>
      <sheetName val="Статус"/>
      <sheetName val="валюта"/>
      <sheetName val="#REF"/>
      <sheetName val="Sheet1"/>
      <sheetName val="Rev"/>
      <sheetName val="FCF"/>
      <sheetName val="Schedules"/>
      <sheetName val="common-size"/>
      <sheetName val="Proj. Bal."/>
      <sheetName val="Ratios"/>
      <sheetName val="Read me first"/>
      <sheetName val="Поддерживающий лист"/>
      <sheetName val="Long List"/>
      <sheetName val="Lead"/>
      <sheetName val="пр-во"/>
      <sheetName val="Свод-1"/>
      <sheetName val="Итог по НПО "/>
      <sheetName val="баланс"/>
      <sheetName val="EMBI"/>
      <sheetName val="Svr Eur"/>
      <sheetName val="a)_Core_Financials"/>
      <sheetName val="Авансы_по_СНГ"/>
      <sheetName val="IncStat_03-04"/>
      <sheetName val="IncStat_03__"/>
      <sheetName val="PERSONNELIST"/>
      <sheetName val="TECHSHEET"/>
      <sheetName val=" 31_Oper lease"/>
      <sheetName val="PN's base (250)"/>
      <sheetName val="INFLOW"/>
      <sheetName val="sheet2"/>
      <sheetName val="Risk-Free Rate"/>
      <sheetName val="CMA"/>
      <sheetName val="Предпосылки"/>
      <sheetName val="ICO_budzet_97"/>
      <sheetName val="RSOILBAL"/>
      <sheetName val="INDIRECT COST"/>
      <sheetName val="graph_data"/>
      <sheetName val="бддс"/>
      <sheetName val="Front"/>
      <sheetName val="Jan 06"/>
      <sheetName val="DCF"/>
      <sheetName val="Соответствие_ст_x0000__x0000_Ԁ_x0000_耀㨛㯈_x0002__x0000__x0000_Ā_x0000_"/>
      <sheetName val="Соответствие_ст_x0000__x0000_Ԁ_x0000_闡㯇_x0002__x0000__x0000_Ā_x0000_"/>
      <sheetName val="Соответствие_ст┃ວࠁ堂耞鯝_x001b__x0000_㐀滳저漿"/>
      <sheetName val="Соответствие_ст䠀ᖚ┃馧_x0000_縂耖纀_x0016__x0000_䠀啬"/>
      <sheetName val="Соответствие_стꀀ㱭_xd814_ᩱ_x0014__x0000_⠀鑰밃钼؃_x0000_"/>
      <sheetName val="Соответствие_ст뀀䔂歟⋸⠡놹1_x0000_뀀᭩"/>
      <sheetName val="Соответствие_ст_x0000__x0000_Ԁ_x0000_ 狢봟_x0002__x0000__x0000_Ā_x0000_"/>
      <sheetName val="Соответствие_ст_x0000__x0000_Ԁ_x0000_倀篱봟_x0002__x0000__x0000_Ā_x0000_"/>
      <sheetName val="Соответствие_ст_x0000__x0000_Ԁ_x0000_ꀀ᛬纳_x0001__x0000__x0000_Ā_x0000_"/>
      <sheetName val="Соответствие_ст_x0000__x0000_Ԁ_x0000_ꀀ䊵迹_x0001__x0000__x0000_Ā_x0000_"/>
      <sheetName val="Соответствие_ст_x0000__x0000_Ԁ_x0000_辭绉_x0001__x0000__x0000_Ā_x0000_"/>
      <sheetName val="Соответствие_ст_x0000__x0000_Ԁ_x0000_瀀Ἆ继_x0001__x0000__x0000_Ā_x0000_"/>
      <sheetName val="Соответствие_ст_x0000__x0000_Ԁ_x0000_怀秙ﲁ_x0001__x0000__x0000_Ā_x0000_"/>
      <sheetName val="Соответствие_ст_x0000__x0000_Ԁ_x0000_᏿ﲈ_x0001__x0000__x0000_Ā_x0000_"/>
      <sheetName val="Соответствие_ст_x0000__x0000_Ԁ_x0000__x0000_꽟ﲁ_x0001__x0000__x0000_Ā_x0000_"/>
      <sheetName val="Соответствие_ст_x0000__x0000_Ԁ_x0000__x0000_傢翵_x0002__x0000__x0000_Ā_x0000_"/>
      <sheetName val="Соответствие_ст_x0000__x0000_Ԁ_x0000_ꀀ㎴ⓛ_x0002__x0000__x0000_Ā_x0000_"/>
      <sheetName val="Соответствие_ст_x0000__x0000_Ԁ_x0000_笲⓭_x0002__x0000__x0000_Ā_x0000_"/>
      <sheetName val="Соответствие_ст_x0000__x0000_Ԁ_x0000_怀ᄾⓧ_x0002__x0000__x0000_Ā_x0000_"/>
      <sheetName val="Соответствие_ст_x0000__x0000_Ԁ_x0000_⓰_x0002__x0000__x0000_Ā_x0000_"/>
      <sheetName val="Соответствие_ст_x0000__x0000_Ԁ_x0000_　簢⓭_x0002__x0000__x0000_Ā_x0000_"/>
      <sheetName val="Библиотека"/>
      <sheetName val="Затраты на оплату труда"/>
      <sheetName val="Свод-ведомость"/>
      <sheetName val="Соответствие_ст"/>
      <sheetName val="Соответствие_ст┃ວࠁ堂耞鯝_x001b_"/>
      <sheetName val="Соответствие_стꀀ㱭?_x0014_"/>
      <sheetName val="Соответствие_ст䠀ᖚ┃馧"/>
      <sheetName val="Соответствие_ст뀀䔂歟⋸⠡놹1"/>
      <sheetName val="база"/>
      <sheetName val="Соответствие_ст_x0000__x0000_Ԁ_x0000_怀⎧芍_x0001__x0000__x0000_Ā_x0000_"/>
      <sheetName val="Соответствие_ст_x0000__x0000_Ԁ_x0000__x0000_椕齨_x0001__x0000__x0000_Ā_x0000_"/>
      <sheetName val="Соответствие_ст_x0000__x0000_Ԁ_x0000_裗뾻_x0001__x0000__x0000_Ā_x0000_"/>
      <sheetName val="Соответствие_ст_x0000__x0000_Ԁ_x0000_倀剄뾱_x0001__x0000__x0000_Ā_x0000_"/>
      <sheetName val="Соответствие_ст_x0000__x0000_Ԁ_x0000_艥齤_x0001__x0000__x0000_Ā_x0000_"/>
      <sheetName val="Соответствие_ст_x0000__x0000_Ԁ_x0000_뀀텲齵_x0001__x0000__x0000_Ā_x0000_"/>
      <sheetName val="Соответствие_ст_x0000__x0000_Ԁ_x0000_　㣸齨_x0001__x0000__x0000_Ā_x0000_"/>
      <sheetName val="Соответствие_ст_x0000__x0000_Ԁ_x0000_퀀曫齵_x0001__x0000__x0000_Ā_x0000_"/>
      <sheetName val="Соответствие_ст_x0000__x0000_Ԁ_x0000_耀좟૪_x0001__x0000__x0000_Ā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F35">
            <v>0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D56">
            <v>0</v>
          </cell>
          <cell r="E56">
            <v>0</v>
          </cell>
          <cell r="F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D93">
            <v>0</v>
          </cell>
          <cell r="E93">
            <v>0</v>
          </cell>
          <cell r="F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D94">
            <v>0</v>
          </cell>
          <cell r="E94">
            <v>0</v>
          </cell>
          <cell r="F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D95">
            <v>0</v>
          </cell>
          <cell r="E95">
            <v>0</v>
          </cell>
          <cell r="F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S109">
            <v>0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S110">
            <v>0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S111">
            <v>0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S112">
            <v>0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S113">
            <v>0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S114">
            <v>0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S119">
            <v>0</v>
          </cell>
          <cell r="T119">
            <v>0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S120">
            <v>0</v>
          </cell>
          <cell r="T120">
            <v>0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D123">
            <v>0</v>
          </cell>
          <cell r="E123">
            <v>0</v>
          </cell>
          <cell r="F123">
            <v>0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-24</v>
          </cell>
        </row>
        <row r="259">
          <cell r="B259">
            <v>619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B262">
            <v>624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B266">
            <v>628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B279">
            <v>641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B281">
            <v>647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B283">
            <v>660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B285">
            <v>664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B287" t="str">
            <v>*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B292">
            <v>674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B299">
            <v>701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B304">
            <v>710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B309" t="str">
            <v>*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12d</v>
          </cell>
          <cell r="B310">
            <v>0</v>
          </cell>
          <cell r="C310" t="str">
            <v>Other personnel costs (в т.ч. командировки)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16d</v>
          </cell>
          <cell r="B312">
            <v>0</v>
          </cell>
          <cell r="C312" t="str">
            <v>Other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B313" t="str">
            <v>*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22">
          <cell r="B322">
            <v>1212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S339">
            <v>0</v>
          </cell>
          <cell r="T339">
            <v>0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26">
          <cell r="C26" t="str">
            <v>Налог на прибыль</v>
          </cell>
        </row>
      </sheetData>
      <sheetData sheetId="132">
        <row r="26">
          <cell r="C26" t="str">
            <v>Налог на прибыль</v>
          </cell>
        </row>
      </sheetData>
      <sheetData sheetId="133">
        <row r="26">
          <cell r="C26" t="str">
            <v>Налог на прибыль</v>
          </cell>
        </row>
      </sheetData>
      <sheetData sheetId="134">
        <row r="26">
          <cell r="C26" t="str">
            <v>Налог на прибыль</v>
          </cell>
        </row>
      </sheetData>
      <sheetData sheetId="135">
        <row r="26">
          <cell r="C26" t="str">
            <v>Налог на прибыль</v>
          </cell>
        </row>
      </sheetData>
      <sheetData sheetId="136">
        <row r="26">
          <cell r="C26" t="str">
            <v>Налог на прибыль</v>
          </cell>
        </row>
      </sheetData>
      <sheetData sheetId="137">
        <row r="26">
          <cell r="C26" t="str">
            <v>Налог на прибыль</v>
          </cell>
        </row>
      </sheetData>
      <sheetData sheetId="138">
        <row r="26">
          <cell r="C26" t="str">
            <v>Налог на прибыль</v>
          </cell>
        </row>
      </sheetData>
      <sheetData sheetId="139">
        <row r="26">
          <cell r="C26" t="str">
            <v>Налог на прибыль</v>
          </cell>
        </row>
      </sheetData>
      <sheetData sheetId="140">
        <row r="26">
          <cell r="C26" t="str">
            <v>Налог на прибыль</v>
          </cell>
        </row>
      </sheetData>
      <sheetData sheetId="141">
        <row r="26">
          <cell r="C26" t="str">
            <v>Налог на прибыль</v>
          </cell>
        </row>
      </sheetData>
      <sheetData sheetId="142">
        <row r="26">
          <cell r="C26" t="str">
            <v>Налог на прибыль</v>
          </cell>
        </row>
      </sheetData>
      <sheetData sheetId="143">
        <row r="26">
          <cell r="C26" t="str">
            <v>Налог на прибыль</v>
          </cell>
        </row>
      </sheetData>
      <sheetData sheetId="144">
        <row r="26">
          <cell r="C26" t="str">
            <v>Налог на прибыль</v>
          </cell>
        </row>
      </sheetData>
      <sheetData sheetId="145">
        <row r="26">
          <cell r="C26" t="str">
            <v>Налог на прибыль</v>
          </cell>
        </row>
      </sheetData>
      <sheetData sheetId="146">
        <row r="26">
          <cell r="C26" t="str">
            <v>Налог на прибыль</v>
          </cell>
        </row>
      </sheetData>
      <sheetData sheetId="147">
        <row r="26">
          <cell r="C26" t="str">
            <v>Налог на прибыль</v>
          </cell>
        </row>
      </sheetData>
      <sheetData sheetId="148">
        <row r="26">
          <cell r="C26" t="str">
            <v>Налог на прибыль</v>
          </cell>
        </row>
      </sheetData>
      <sheetData sheetId="149">
        <row r="26">
          <cell r="C26" t="str">
            <v>Налог на прибыль</v>
          </cell>
        </row>
      </sheetData>
      <sheetData sheetId="150">
        <row r="26">
          <cell r="C26" t="str">
            <v>Налог на прибыль</v>
          </cell>
        </row>
      </sheetData>
      <sheetData sheetId="151">
        <row r="26">
          <cell r="C26" t="str">
            <v>Налог на прибыль</v>
          </cell>
        </row>
      </sheetData>
      <sheetData sheetId="152">
        <row r="26">
          <cell r="C26" t="str">
            <v>Налог на прибыль</v>
          </cell>
        </row>
      </sheetData>
      <sheetData sheetId="153">
        <row r="26">
          <cell r="C26" t="str">
            <v>Налог на прибыль</v>
          </cell>
        </row>
      </sheetData>
      <sheetData sheetId="154">
        <row r="26">
          <cell r="C26" t="str">
            <v>Налог на прибыль</v>
          </cell>
        </row>
      </sheetData>
      <sheetData sheetId="155">
        <row r="26">
          <cell r="C26" t="str">
            <v>Налог на прибыль</v>
          </cell>
        </row>
      </sheetData>
      <sheetData sheetId="156">
        <row r="26">
          <cell r="C26" t="str">
            <v>Налог на прибыль</v>
          </cell>
        </row>
      </sheetData>
      <sheetData sheetId="157">
        <row r="26">
          <cell r="C26" t="str">
            <v>Налог на прибыль</v>
          </cell>
        </row>
      </sheetData>
      <sheetData sheetId="158">
        <row r="26">
          <cell r="C26" t="str">
            <v>Налог на прибыль</v>
          </cell>
        </row>
      </sheetData>
      <sheetData sheetId="159">
        <row r="26">
          <cell r="C26" t="str">
            <v>Налог на прибыль</v>
          </cell>
        </row>
      </sheetData>
      <sheetData sheetId="160">
        <row r="26">
          <cell r="C26" t="str">
            <v>Налог на прибыль</v>
          </cell>
        </row>
      </sheetData>
      <sheetData sheetId="161">
        <row r="26">
          <cell r="C26" t="str">
            <v>Налог на прибыль</v>
          </cell>
        </row>
      </sheetData>
      <sheetData sheetId="162">
        <row r="26">
          <cell r="C26" t="str">
            <v>Налог на прибыль</v>
          </cell>
        </row>
      </sheetData>
      <sheetData sheetId="163">
        <row r="26">
          <cell r="C26" t="str">
            <v>Налог на прибыль</v>
          </cell>
        </row>
      </sheetData>
      <sheetData sheetId="164">
        <row r="26">
          <cell r="C26" t="str">
            <v>Налог на прибыль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6">
          <cell r="C26" t="str">
            <v>Налог на прибыль</v>
          </cell>
        </row>
      </sheetData>
      <sheetData sheetId="172">
        <row r="26">
          <cell r="C26" t="str">
            <v>Налог на прибыль</v>
          </cell>
        </row>
      </sheetData>
      <sheetData sheetId="173">
        <row r="26">
          <cell r="C26" t="str">
            <v>Налог на прибыль</v>
          </cell>
        </row>
      </sheetData>
      <sheetData sheetId="174">
        <row r="26">
          <cell r="C26" t="str">
            <v>Налог на прибыль</v>
          </cell>
        </row>
      </sheetData>
      <sheetData sheetId="175">
        <row r="26">
          <cell r="C26" t="str">
            <v>Налог на прибыль</v>
          </cell>
        </row>
      </sheetData>
      <sheetData sheetId="176" refreshError="1"/>
      <sheetData sheetId="177">
        <row r="26">
          <cell r="C26" t="str">
            <v>Налог на прибыль</v>
          </cell>
        </row>
      </sheetData>
      <sheetData sheetId="178">
        <row r="26">
          <cell r="C26" t="str">
            <v>Налог на прибыль</v>
          </cell>
        </row>
      </sheetData>
      <sheetData sheetId="179">
        <row r="26">
          <cell r="C26" t="str">
            <v>Налог на прибыль</v>
          </cell>
        </row>
      </sheetData>
      <sheetData sheetId="180">
        <row r="26">
          <cell r="C26" t="str">
            <v>Налог на прибыль</v>
          </cell>
        </row>
      </sheetData>
      <sheetData sheetId="181">
        <row r="26">
          <cell r="C26" t="str">
            <v>Налог на прибыль</v>
          </cell>
        </row>
      </sheetData>
      <sheetData sheetId="182">
        <row r="26">
          <cell r="C26" t="str">
            <v>Налог на прибыль</v>
          </cell>
        </row>
      </sheetData>
      <sheetData sheetId="183">
        <row r="26">
          <cell r="C26" t="str">
            <v>Налог на прибыль</v>
          </cell>
        </row>
      </sheetData>
      <sheetData sheetId="184">
        <row r="26">
          <cell r="C26" t="str">
            <v>Налог на прибыль</v>
          </cell>
        </row>
      </sheetData>
      <sheetData sheetId="185">
        <row r="26">
          <cell r="C26" t="str">
            <v>Налог на прибыль</v>
          </cell>
        </row>
      </sheetData>
      <sheetData sheetId="186">
        <row r="26">
          <cell r="C26" t="str">
            <v>Налог на прибыль</v>
          </cell>
        </row>
      </sheetData>
      <sheetData sheetId="187">
        <row r="26">
          <cell r="C26" t="str">
            <v>Налог на прибыль</v>
          </cell>
        </row>
      </sheetData>
      <sheetData sheetId="188">
        <row r="26">
          <cell r="C26" t="str">
            <v>Налог на прибыль</v>
          </cell>
        </row>
      </sheetData>
      <sheetData sheetId="189">
        <row r="26">
          <cell r="C26" t="str">
            <v>Налог на прибыль</v>
          </cell>
        </row>
      </sheetData>
      <sheetData sheetId="190">
        <row r="26">
          <cell r="C26" t="str">
            <v>Налог на прибыль</v>
          </cell>
        </row>
      </sheetData>
      <sheetData sheetId="191">
        <row r="26">
          <cell r="C26" t="str">
            <v>Налог на прибыль</v>
          </cell>
        </row>
      </sheetData>
      <sheetData sheetId="192">
        <row r="26">
          <cell r="C26" t="str">
            <v>Налог на прибыль</v>
          </cell>
        </row>
      </sheetData>
      <sheetData sheetId="193">
        <row r="26">
          <cell r="C26" t="str">
            <v>Налог на прибыль</v>
          </cell>
        </row>
      </sheetData>
      <sheetData sheetId="194">
        <row r="26">
          <cell r="C26" t="str">
            <v>Налог на прибыль</v>
          </cell>
        </row>
      </sheetData>
      <sheetData sheetId="195">
        <row r="26">
          <cell r="C26" t="str">
            <v>Налог на прибыль</v>
          </cell>
        </row>
      </sheetData>
      <sheetData sheetId="196">
        <row r="26">
          <cell r="C26" t="str">
            <v>Налог на прибыль</v>
          </cell>
        </row>
      </sheetData>
      <sheetData sheetId="197">
        <row r="26">
          <cell r="C26" t="str">
            <v>Налог на прибыль</v>
          </cell>
        </row>
      </sheetData>
      <sheetData sheetId="198">
        <row r="26">
          <cell r="C26" t="str">
            <v>Налог на прибыль</v>
          </cell>
        </row>
      </sheetData>
      <sheetData sheetId="199">
        <row r="26">
          <cell r="C26" t="str">
            <v>Налог на прибыль</v>
          </cell>
        </row>
      </sheetData>
      <sheetData sheetId="200">
        <row r="26">
          <cell r="C26" t="str">
            <v>Налог на прибыль</v>
          </cell>
        </row>
      </sheetData>
      <sheetData sheetId="201">
        <row r="26">
          <cell r="C26" t="str">
            <v>Налог на прибыль</v>
          </cell>
        </row>
      </sheetData>
      <sheetData sheetId="202">
        <row r="26">
          <cell r="C26" t="str">
            <v>Налог на прибыль</v>
          </cell>
        </row>
      </sheetData>
      <sheetData sheetId="203">
        <row r="26">
          <cell r="C26" t="str">
            <v>Налог на прибыль</v>
          </cell>
        </row>
      </sheetData>
      <sheetData sheetId="204">
        <row r="26">
          <cell r="C26" t="str">
            <v>Налог на прибыль</v>
          </cell>
        </row>
      </sheetData>
      <sheetData sheetId="205">
        <row r="26">
          <cell r="C26" t="str">
            <v>Налог на прибыль</v>
          </cell>
        </row>
      </sheetData>
      <sheetData sheetId="206">
        <row r="26">
          <cell r="C26" t="str">
            <v>Налог на прибыль</v>
          </cell>
        </row>
      </sheetData>
      <sheetData sheetId="207">
        <row r="26">
          <cell r="C26" t="str">
            <v>Налог на прибыль</v>
          </cell>
        </row>
      </sheetData>
      <sheetData sheetId="208">
        <row r="26">
          <cell r="C26" t="str">
            <v>Налог на прибыль</v>
          </cell>
        </row>
      </sheetData>
      <sheetData sheetId="209">
        <row r="26">
          <cell r="C26" t="str">
            <v>Налог на прибыль</v>
          </cell>
        </row>
      </sheetData>
      <sheetData sheetId="210">
        <row r="26">
          <cell r="C26" t="str">
            <v>Налог на прибыль</v>
          </cell>
        </row>
      </sheetData>
      <sheetData sheetId="211">
        <row r="26">
          <cell r="C26" t="str">
            <v>Налог на прибыль</v>
          </cell>
        </row>
      </sheetData>
      <sheetData sheetId="212">
        <row r="26">
          <cell r="C26" t="str">
            <v>Налог на прибыль</v>
          </cell>
        </row>
      </sheetData>
      <sheetData sheetId="213">
        <row r="26">
          <cell r="C26" t="str">
            <v>Налог на прибыль</v>
          </cell>
        </row>
      </sheetData>
      <sheetData sheetId="214">
        <row r="26">
          <cell r="C26" t="str">
            <v>Налог на прибыль</v>
          </cell>
        </row>
      </sheetData>
      <sheetData sheetId="215">
        <row r="26">
          <cell r="C26" t="str">
            <v>Налог на прибыль</v>
          </cell>
        </row>
      </sheetData>
      <sheetData sheetId="216">
        <row r="26">
          <cell r="C26" t="str">
            <v>Налог на прибыль</v>
          </cell>
        </row>
      </sheetData>
      <sheetData sheetId="217">
        <row r="26">
          <cell r="C26" t="str">
            <v>Налог на прибыль</v>
          </cell>
        </row>
      </sheetData>
      <sheetData sheetId="218">
        <row r="26">
          <cell r="C26" t="str">
            <v>Налог на прибыль</v>
          </cell>
        </row>
      </sheetData>
      <sheetData sheetId="219">
        <row r="26">
          <cell r="C26" t="str">
            <v>Налог на прибыль</v>
          </cell>
        </row>
      </sheetData>
      <sheetData sheetId="220">
        <row r="26">
          <cell r="C26" t="str">
            <v>Налог на прибыль</v>
          </cell>
        </row>
      </sheetData>
      <sheetData sheetId="221">
        <row r="26">
          <cell r="C26" t="str">
            <v>Налог на прибыль</v>
          </cell>
        </row>
      </sheetData>
      <sheetData sheetId="222">
        <row r="26">
          <cell r="C26" t="str">
            <v>Налог на прибыль</v>
          </cell>
        </row>
      </sheetData>
      <sheetData sheetId="223">
        <row r="26">
          <cell r="C26" t="str">
            <v>Налог на прибыль</v>
          </cell>
        </row>
      </sheetData>
      <sheetData sheetId="224">
        <row r="26">
          <cell r="C26" t="str">
            <v>Налог на прибыль</v>
          </cell>
        </row>
      </sheetData>
      <sheetData sheetId="225">
        <row r="26">
          <cell r="C26" t="str">
            <v>Налог на прибыль</v>
          </cell>
        </row>
      </sheetData>
      <sheetData sheetId="226">
        <row r="26">
          <cell r="C26" t="str">
            <v>Налог на прибыль</v>
          </cell>
        </row>
      </sheetData>
      <sheetData sheetId="227">
        <row r="26">
          <cell r="C26" t="str">
            <v>Налог на прибыль</v>
          </cell>
        </row>
      </sheetData>
      <sheetData sheetId="228">
        <row r="26">
          <cell r="C26" t="str">
            <v>Налог на прибыль</v>
          </cell>
        </row>
      </sheetData>
      <sheetData sheetId="229">
        <row r="26">
          <cell r="C26" t="str">
            <v>Налог на прибыль</v>
          </cell>
        </row>
      </sheetData>
      <sheetData sheetId="230">
        <row r="26">
          <cell r="C26" t="str">
            <v>Налог на прибыль</v>
          </cell>
        </row>
      </sheetData>
      <sheetData sheetId="231">
        <row r="26">
          <cell r="C26" t="str">
            <v>Налог на прибыль</v>
          </cell>
        </row>
      </sheetData>
      <sheetData sheetId="232">
        <row r="26">
          <cell r="C26" t="str">
            <v>Налог на прибыль</v>
          </cell>
        </row>
      </sheetData>
      <sheetData sheetId="233">
        <row r="26">
          <cell r="C26" t="str">
            <v>Налог на прибыль</v>
          </cell>
        </row>
      </sheetData>
      <sheetData sheetId="234">
        <row r="26">
          <cell r="C26" t="str">
            <v>Налог на прибыль</v>
          </cell>
        </row>
      </sheetData>
      <sheetData sheetId="235">
        <row r="26">
          <cell r="C26" t="str">
            <v>Налог на прибыль</v>
          </cell>
        </row>
      </sheetData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>
        <row r="26">
          <cell r="C26" t="str">
            <v>Налог на прибыль</v>
          </cell>
        </row>
      </sheetData>
      <sheetData sheetId="240">
        <row r="26">
          <cell r="C26" t="str">
            <v>Налог на прибыль</v>
          </cell>
        </row>
      </sheetData>
      <sheetData sheetId="241">
        <row r="26">
          <cell r="C26" t="str">
            <v>Налог на прибыль</v>
          </cell>
        </row>
      </sheetData>
      <sheetData sheetId="242">
        <row r="26">
          <cell r="C26" t="str">
            <v>Налог на прибыль</v>
          </cell>
        </row>
      </sheetData>
      <sheetData sheetId="243">
        <row r="26">
          <cell r="C26" t="str">
            <v>Налог на прибыль</v>
          </cell>
        </row>
      </sheetData>
      <sheetData sheetId="244">
        <row r="26">
          <cell r="C26" t="str">
            <v>Налог на прибыль</v>
          </cell>
        </row>
      </sheetData>
      <sheetData sheetId="245">
        <row r="26">
          <cell r="C26" t="str">
            <v>Налог на прибыль</v>
          </cell>
        </row>
      </sheetData>
      <sheetData sheetId="246">
        <row r="26">
          <cell r="C26" t="str">
            <v>Налог на прибыль</v>
          </cell>
        </row>
      </sheetData>
      <sheetData sheetId="247" refreshError="1"/>
      <sheetData sheetId="248">
        <row r="26">
          <cell r="C26" t="str">
            <v>Налог на прибыль</v>
          </cell>
        </row>
      </sheetData>
      <sheetData sheetId="249">
        <row r="26">
          <cell r="C26" t="str">
            <v>Налог на прибыль</v>
          </cell>
        </row>
      </sheetData>
      <sheetData sheetId="250">
        <row r="26">
          <cell r="C26" t="str">
            <v>Налог на прибыль</v>
          </cell>
        </row>
      </sheetData>
      <sheetData sheetId="251">
        <row r="26">
          <cell r="C26" t="str">
            <v>Налог на прибыль</v>
          </cell>
        </row>
      </sheetData>
      <sheetData sheetId="252">
        <row r="26">
          <cell r="C26" t="str">
            <v>Налог на прибыль</v>
          </cell>
        </row>
      </sheetData>
      <sheetData sheetId="253">
        <row r="26">
          <cell r="C26" t="str">
            <v>Налог на прибыль</v>
          </cell>
        </row>
      </sheetData>
      <sheetData sheetId="254">
        <row r="26">
          <cell r="C26" t="str">
            <v>Налог на прибыль</v>
          </cell>
        </row>
      </sheetData>
      <sheetData sheetId="255">
        <row r="26">
          <cell r="C26" t="str">
            <v>Налог на прибыль</v>
          </cell>
        </row>
      </sheetData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>
        <row r="26">
          <cell r="C26" t="str">
            <v>Налог на прибыль</v>
          </cell>
        </row>
      </sheetData>
      <sheetData sheetId="293">
        <row r="26">
          <cell r="C26" t="str">
            <v>Налог на прибыль</v>
          </cell>
        </row>
      </sheetData>
      <sheetData sheetId="294">
        <row r="26">
          <cell r="C26" t="str">
            <v>Налог на прибыль</v>
          </cell>
        </row>
      </sheetData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26">
          <cell r="C26" t="str">
            <v>Налог на прибыль</v>
          </cell>
        </row>
      </sheetData>
      <sheetData sheetId="433">
        <row r="26">
          <cell r="C26" t="str">
            <v>Налог на прибыль</v>
          </cell>
        </row>
      </sheetData>
      <sheetData sheetId="434">
        <row r="26">
          <cell r="C26" t="str">
            <v>Налог на прибыль</v>
          </cell>
        </row>
      </sheetData>
      <sheetData sheetId="435">
        <row r="26">
          <cell r="C26" t="str">
            <v>Налог на прибыль</v>
          </cell>
        </row>
      </sheetData>
      <sheetData sheetId="436">
        <row r="26">
          <cell r="C26" t="str">
            <v>Налог на прибыль</v>
          </cell>
        </row>
      </sheetData>
      <sheetData sheetId="437"/>
      <sheetData sheetId="438"/>
      <sheetData sheetId="439"/>
      <sheetData sheetId="440"/>
      <sheetData sheetId="441"/>
      <sheetData sheetId="442">
        <row r="26">
          <cell r="C26" t="str">
            <v>Налог на прибыль</v>
          </cell>
        </row>
      </sheetData>
      <sheetData sheetId="443">
        <row r="26">
          <cell r="C26" t="str">
            <v>Налог на прибыль</v>
          </cell>
        </row>
      </sheetData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OFS TOTAL"/>
      <sheetName val="СВОД 2016"/>
      <sheetName val="БДПС 2016"/>
      <sheetName val="Справочники"/>
      <sheetName val="A4"/>
      <sheetName val="operators2"/>
      <sheetName val="Цена"/>
      <sheetName val="топография"/>
      <sheetName val="Кредиты"/>
      <sheetName val="Лист1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СОПГП V"/>
      <sheetName val="Настройка"/>
      <sheetName val="ИНВ_short"/>
      <sheetName val="справочник"/>
      <sheetName val="СС"/>
      <sheetName val="исходные данные"/>
      <sheetName val="расчетные таблицы"/>
      <sheetName val="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Смета 5.2. Кусты25,29,31,65"/>
      <sheetName val="Выпадающие списки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$60_Case_STL_(30)"/>
      <sheetName val="5_Excise_(Q)"/>
      <sheetName val="2005_Model_36_5-33-14"/>
      <sheetName val="OFS_TOTAL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Chart_%_Product_Consumpti"/>
      <sheetName val="Бадра"/>
      <sheetName val="Fuel oil price_x0000_31,6"/>
      <sheetName val="Cons_Journals"/>
      <sheetName val="s"/>
      <sheetName val="Зап-3- СЦБ"/>
      <sheetName val="T1"/>
      <sheetName val="base"/>
      <sheetName val="Курдистан"/>
      <sheetName val="ВПР"/>
      <sheetName val="_впр"/>
      <sheetName val="СВОД БДДС ГФП"/>
      <sheetName val="список"/>
      <sheetName val="Бридж после СЭУ"/>
      <sheetName val="111"/>
      <sheetName val="Сценарий"/>
      <sheetName val="Список ПО"/>
      <sheetName val="К2_ВД_функ"/>
      <sheetName val="Расчет"/>
      <sheetName val="МПВ"/>
      <sheetName val="Статьи1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Допущения"/>
      <sheetName val="Salary"/>
      <sheetName val="Testing Results"/>
      <sheetName val="К1_контраг"/>
      <sheetName val="ЦК"/>
      <sheetName val="БР"/>
      <sheetName val="Техлист"/>
      <sheetName val="Fuel oil price_x005f_x0000_31,6"/>
      <sheetName val="Данные для отчета"/>
      <sheetName val="Контрагенты"/>
      <sheetName val="Статьи субподряда"/>
      <sheetName val="Проекты"/>
      <sheetName val="Fuel oil price?31,6"/>
      <sheetName val="5"/>
      <sheetName val="Лист2"/>
      <sheetName val="справочник ЦК и колодцев "/>
      <sheetName val="_x0001_럠ޡ_x0008_Ѐ屠Д캰ͦ癀ц_x000b__x0000__x0000__x0000__x0001__x0000_托ܘ#1晀"/>
      <sheetName val="увел.окл.на 3,8%, прем., РК и С"/>
      <sheetName val="Модель расчёта ГРиД"/>
      <sheetName val="Макроусловия"/>
      <sheetName val="Scoreing"/>
      <sheetName val="КапСтрой_Зарубежье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 данные на 07.02.2001"/>
      <sheetName val="Сахар"/>
      <sheetName val="Зерно"/>
      <sheetName val="Гарантии"/>
      <sheetName val="Лист2"/>
      <sheetName val="Параметры"/>
      <sheetName val="Продажи"/>
      <sheetName val="#ССЫЛКА"/>
      <sheetName val="шахматка"/>
      <sheetName val="%% по кт"/>
      <sheetName val="Ж"/>
      <sheetName val="жж-99"/>
      <sheetName val="qCou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 refreshError="1">
        <row r="7">
          <cell r="I7" t="str">
            <v>31 декабря 2004г.</v>
          </cell>
        </row>
        <row r="12">
          <cell r="D12" t="str">
            <v xml:space="preserve">^ </v>
          </cell>
          <cell r="L12" t="str">
            <v xml:space="preserve">^ </v>
          </cell>
        </row>
        <row r="14">
          <cell r="L14" t="str">
            <v xml:space="preserve">^ </v>
          </cell>
        </row>
        <row r="15">
          <cell r="E15" t="str">
            <v xml:space="preserve">^ </v>
          </cell>
          <cell r="L15" t="str">
            <v xml:space="preserve">^ </v>
          </cell>
        </row>
        <row r="16">
          <cell r="L16" t="str">
            <v xml:space="preserve">^ </v>
          </cell>
        </row>
        <row r="17">
          <cell r="L17" t="str">
            <v xml:space="preserve">^ </v>
          </cell>
        </row>
        <row r="20">
          <cell r="C20" t="str">
            <v xml:space="preserve">^ </v>
          </cell>
        </row>
      </sheetData>
      <sheetData sheetId="1" refreshError="1"/>
      <sheetData sheetId="2" refreshError="1"/>
      <sheetData sheetId="3" refreshError="1"/>
      <sheetData sheetId="4" refreshError="1">
        <row r="27">
          <cell r="M27">
            <v>35</v>
          </cell>
        </row>
        <row r="29">
          <cell r="K29">
            <v>68</v>
          </cell>
        </row>
        <row r="32">
          <cell r="N32">
            <v>64</v>
          </cell>
        </row>
        <row r="33">
          <cell r="N33">
            <v>19</v>
          </cell>
        </row>
        <row r="34">
          <cell r="N34">
            <v>22</v>
          </cell>
        </row>
        <row r="37">
          <cell r="K37">
            <v>3211</v>
          </cell>
          <cell r="M37">
            <v>775</v>
          </cell>
        </row>
        <row r="38">
          <cell r="K38">
            <v>2786</v>
          </cell>
        </row>
        <row r="39">
          <cell r="K39">
            <v>1524</v>
          </cell>
        </row>
        <row r="42">
          <cell r="N42">
            <v>90</v>
          </cell>
        </row>
        <row r="44">
          <cell r="N44">
            <v>64</v>
          </cell>
        </row>
        <row r="45">
          <cell r="K45">
            <v>7595</v>
          </cell>
        </row>
        <row r="50">
          <cell r="J50">
            <v>7</v>
          </cell>
        </row>
        <row r="51">
          <cell r="J51">
            <v>1117</v>
          </cell>
        </row>
        <row r="52">
          <cell r="J52">
            <v>147</v>
          </cell>
        </row>
      </sheetData>
      <sheetData sheetId="5" refreshError="1">
        <row r="51">
          <cell r="K51">
            <v>983</v>
          </cell>
          <cell r="N51">
            <v>1222</v>
          </cell>
        </row>
        <row r="54">
          <cell r="K54">
            <v>112</v>
          </cell>
          <cell r="N54">
            <v>146</v>
          </cell>
        </row>
        <row r="56">
          <cell r="K56">
            <v>123</v>
          </cell>
          <cell r="N56">
            <v>397</v>
          </cell>
        </row>
        <row r="66">
          <cell r="K66">
            <v>56</v>
          </cell>
          <cell r="N66">
            <v>66</v>
          </cell>
        </row>
        <row r="67">
          <cell r="K67">
            <v>58</v>
          </cell>
          <cell r="N67">
            <v>27</v>
          </cell>
        </row>
        <row r="72">
          <cell r="K72">
            <v>0</v>
          </cell>
          <cell r="N72">
            <v>0</v>
          </cell>
        </row>
        <row r="74">
          <cell r="J74">
            <v>22</v>
          </cell>
          <cell r="M74">
            <v>22</v>
          </cell>
        </row>
        <row r="76">
          <cell r="J76">
            <v>22</v>
          </cell>
          <cell r="M76">
            <v>22</v>
          </cell>
        </row>
        <row r="89">
          <cell r="J89">
            <v>5368</v>
          </cell>
          <cell r="N89">
            <v>6696</v>
          </cell>
        </row>
        <row r="90">
          <cell r="J90">
            <v>997</v>
          </cell>
          <cell r="N90">
            <v>1198</v>
          </cell>
        </row>
        <row r="94">
          <cell r="J94">
            <v>3228</v>
          </cell>
          <cell r="N94">
            <v>3833</v>
          </cell>
        </row>
        <row r="95">
          <cell r="J95">
            <v>712</v>
          </cell>
          <cell r="N95">
            <v>2923</v>
          </cell>
        </row>
        <row r="96">
          <cell r="J96">
            <v>215</v>
          </cell>
          <cell r="N96">
            <v>219</v>
          </cell>
        </row>
        <row r="97">
          <cell r="J97">
            <v>98</v>
          </cell>
          <cell r="N97">
            <v>130</v>
          </cell>
        </row>
        <row r="109">
          <cell r="N109">
            <v>1</v>
          </cell>
        </row>
        <row r="110">
          <cell r="J110">
            <v>15</v>
          </cell>
          <cell r="N110">
            <v>11</v>
          </cell>
        </row>
        <row r="118">
          <cell r="J118">
            <v>2332</v>
          </cell>
        </row>
        <row r="119">
          <cell r="J119">
            <v>1221</v>
          </cell>
        </row>
        <row r="132">
          <cell r="J132">
            <v>758</v>
          </cell>
        </row>
        <row r="133">
          <cell r="J133">
            <v>-4</v>
          </cell>
        </row>
        <row r="159">
          <cell r="J159">
            <v>19</v>
          </cell>
          <cell r="K159">
            <v>87</v>
          </cell>
        </row>
        <row r="160">
          <cell r="N160">
            <v>1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АП"/>
      <sheetName val="ФИ"/>
      <sheetName val="земля"/>
      <sheetName val="СРАВНИТ"/>
      <sheetName val="ДП"/>
      <sheetName val="R"/>
      <sheetName val="СОГЛАС"/>
    </sheetNames>
    <sheetDataSet>
      <sheetData sheetId="0">
        <row r="3">
          <cell r="E3">
            <v>36.228400000000001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(апр-04-06)"/>
      <sheetName val="Сводная (2004)"/>
      <sheetName val="Сводная ЛССМУ"/>
      <sheetName val="#ССЫЛКА"/>
      <sheetName val="Черновик"/>
      <sheetName val="Сводная_(2004)"/>
      <sheetName val="Сводная_ЛССМУ"/>
      <sheetName val="Сводная_(2004)1"/>
      <sheetName val="Сводная_ЛССМУ1"/>
      <sheetName val="Сводная_(2004)2"/>
      <sheetName val="Сводная_ЛССМУ2"/>
      <sheetName val="Сводная_(2004)3"/>
      <sheetName val="Сводная_ЛССМУ3"/>
      <sheetName val="cur_projects pl"/>
      <sheetName val="Параметры"/>
      <sheetName val="Narratives-Subsidiarie"/>
      <sheetName val="Breakdown CAPEX (PBC)"/>
      <sheetName val="POW"/>
      <sheetName val="продажи_1_оч."/>
      <sheetName val="Input"/>
      <sheetName val="Таблица"/>
      <sheetName val="sводная ЛССМУ"/>
      <sheetName val="№1_отчет о реализации площадей"/>
      <sheetName val="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heet1"/>
      <sheetName val="_ф3"/>
      <sheetName val="_Ф4"/>
      <sheetName val="_Ф5"/>
      <sheetName val="Ф7_цены"/>
      <sheetName val="Ф8_цены"/>
      <sheetName val="Summary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Лист1"/>
      <sheetName val="INDIRECT COST"/>
      <sheetName val="каскад,5"/>
      <sheetName val="бог"/>
      <sheetName val="мфтц,к.4"/>
      <sheetName val="natl consult reg."/>
      <sheetName val="lob"/>
      <sheetName val="лист4"/>
      <sheetName val="Новая презентация"/>
      <sheetName val="Предпосылки"/>
      <sheetName val="Фин отчетность МСФО"/>
      <sheetName val="Вход"/>
      <sheetName val="Cash2"/>
      <sheetName val="Z"/>
      <sheetName val="inputs"/>
      <sheetName val="Бюджет"/>
      <sheetName val="Data"/>
      <sheetName val="cur_projects_pl"/>
      <sheetName val="Сводная_(2004)4"/>
      <sheetName val="Сводная_ЛССМУ4"/>
      <sheetName val="cur_projects_pl1"/>
      <sheetName val="Breakdown_CAPEX_(PBC)"/>
      <sheetName val="продажи_1_оч_"/>
      <sheetName val="sводная_ЛССМУ"/>
      <sheetName val="Отчет_о_реализации_площадей"/>
      <sheetName val="№1_отчет_о_реализации_площадей"/>
      <sheetName val="oil_"/>
      <sheetName val="mobile_"/>
      <sheetName val="energy_"/>
      <sheetName val="metal_"/>
      <sheetName val="telecom_"/>
      <sheetName val="INDIRECT_COST"/>
      <sheetName val="Kur"/>
    </sheetNames>
    <sheetDataSet>
      <sheetData sheetId="0">
        <row r="39">
          <cell r="DE39">
            <v>161910764.88000003</v>
          </cell>
        </row>
      </sheetData>
      <sheetData sheetId="1" refreshError="1"/>
      <sheetData sheetId="2" refreshError="1">
        <row r="39">
          <cell r="DE39">
            <v>161910764.88000003</v>
          </cell>
        </row>
      </sheetData>
      <sheetData sheetId="3" refreshError="1"/>
      <sheetData sheetId="4" refreshError="1"/>
      <sheetData sheetId="5">
        <row r="39">
          <cell r="DE39">
            <v>161910764.88000003</v>
          </cell>
        </row>
      </sheetData>
      <sheetData sheetId="6">
        <row r="39">
          <cell r="DE39">
            <v>161910764.88000003</v>
          </cell>
        </row>
      </sheetData>
      <sheetData sheetId="7">
        <row r="39">
          <cell r="DE39">
            <v>161910764.88000003</v>
          </cell>
        </row>
      </sheetData>
      <sheetData sheetId="8">
        <row r="39">
          <cell r="DE39">
            <v>161910764.88000003</v>
          </cell>
        </row>
      </sheetData>
      <sheetData sheetId="9">
        <row r="39">
          <cell r="DE39">
            <v>161910764.88000003</v>
          </cell>
        </row>
      </sheetData>
      <sheetData sheetId="10">
        <row r="39">
          <cell r="DE39">
            <v>161910764.88000003</v>
          </cell>
        </row>
      </sheetData>
      <sheetData sheetId="11">
        <row r="39">
          <cell r="DE39">
            <v>161910764.88000003</v>
          </cell>
        </row>
      </sheetData>
      <sheetData sheetId="12">
        <row r="39">
          <cell r="DE39">
            <v>161910764.88000003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>
        <row r="39">
          <cell r="DE39">
            <v>161910764.88000003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К"/>
      <sheetName val="Итог"/>
      <sheetName val="бытовой корпус"/>
      <sheetName val="газоочистные соор № 2"/>
      <sheetName val="газоочистные соор № 3"/>
      <sheetName val="плавильный цех"/>
      <sheetName val="градирня"/>
      <sheetName val="2"/>
      <sheetName val="1"/>
      <sheetName val="Сведение"/>
      <sheetName val="общий"/>
      <sheetName val="Rates"/>
      <sheetName val="общие данные"/>
      <sheetName val="исход-итог"/>
      <sheetName val="затр_подх"/>
      <sheetName val="Исходные данные"/>
      <sheetName val="Док+Исх"/>
      <sheetName val="общие сведения"/>
      <sheetName val="Метод остатка"/>
      <sheetName val="Сводная ЛССМУ"/>
      <sheetName val="Служебный"/>
      <sheetName val="свед"/>
      <sheetName val="Начало"/>
      <sheetName val="исход_итог"/>
      <sheetName val="ОСЗ"/>
      <sheetName val="14.ДП"/>
      <sheetName val="1.ИСХ "/>
      <sheetName val="Лист2"/>
      <sheetName val="Параметры"/>
      <sheetName val="НФИк"/>
      <sheetName val="сравнительный "/>
      <sheetName val="Use"/>
      <sheetName val="Калькуляции"/>
      <sheetName val=" Assump"/>
      <sheetName val="ЛитБ"/>
      <sheetName val="Исходные"/>
      <sheetName val="Tabelle2"/>
      <sheetName val="Gazprom on SPBEX-RTS"/>
      <sheetName val="курс валют"/>
      <sheetName val="Rent Assumptions"/>
      <sheetName val="Construction_Shelkovo_VK"/>
      <sheetName val=" Assumptions"/>
      <sheetName val="PL по отгрузке"/>
      <sheetName val="Ключевые данные"/>
      <sheetName val="Финпоказатели"/>
      <sheetName val="график строительства"/>
      <sheetName val="дох_word"/>
      <sheetName val="Спис_Объекты_недв"/>
      <sheetName val="общее"/>
      <sheetName val="Баз предп"/>
      <sheetName val="Изменения"/>
      <sheetName val="1.14"/>
      <sheetName val="Лист1"/>
      <sheetName val="1.10"/>
      <sheetName val="1 - General Info"/>
      <sheetName val="3.ЗАТРАТЫ"/>
      <sheetName val="бытовой_корпус"/>
      <sheetName val="газоочистные_соор_№_2"/>
      <sheetName val="газоочистные_соор_№_3"/>
      <sheetName val="плавильный_цех"/>
      <sheetName val="Исходные_данные"/>
      <sheetName val="общие_сведения"/>
      <sheetName val="Метод_остатка"/>
      <sheetName val="общие_данные"/>
      <sheetName val="Сводная_ЛССМУ"/>
      <sheetName val="сравнительный_"/>
      <sheetName val="1_-_General_Info"/>
      <sheetName val="Ключевые_данные"/>
      <sheetName val="график_строительства"/>
      <sheetName val="_Assump"/>
      <sheetName val="Gazprom_on_SPBEX-RTS"/>
      <sheetName val="курс_валют"/>
      <sheetName val="Содержание"/>
      <sheetName val="график01_09_02"/>
      <sheetName val="3_ЗАТРАТЫ"/>
      <sheetName val="график01.09.02"/>
      <sheetName val="6.Продажа квартир"/>
      <sheetName val="СП_КОМПЛЕКС"/>
      <sheetName val="4.озеленение"/>
      <sheetName val="Forecast"/>
      <sheetName val="Коррект"/>
      <sheetName val="расчет_стоимости"/>
      <sheetName val="pwc p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K1">
            <v>28.66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ОБЪЕКТ"/>
      <sheetName val="ЗЕМЛЯ"/>
      <sheetName val="СРАВНИТЕЛЬНЫЙ"/>
      <sheetName val="ДОХОДНЫЙ"/>
      <sheetName val="офис ставка"/>
      <sheetName val="R"/>
      <sheetName val="ЗАТРАТНЫЙ"/>
      <sheetName val="ПП"/>
    </sheetNames>
    <sheetDataSet>
      <sheetData sheetId="0">
        <row r="11">
          <cell r="B11" t="str">
            <v>г. Москва, Вознесенский пер., д.10, стр.1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исход_итог"/>
      <sheetName val="затр_подх"/>
      <sheetName val="1"/>
      <sheetName val="Параметры"/>
      <sheetName val="свед"/>
      <sheetName val="Начало"/>
      <sheetName val="общие данные"/>
      <sheetName val="Balance Sheet"/>
      <sheetName val="общие сведения"/>
      <sheetName val="Содержание"/>
      <sheetName val="Sheet2"/>
      <sheetName val="Дебиторка"/>
      <sheetName val="Rates"/>
      <sheetName val="Лист2"/>
      <sheetName val="общий"/>
      <sheetName val="разряд"/>
      <sheetName val="Аналоги"/>
      <sheetName val="Исходные"/>
      <sheetName val="график строительства"/>
      <sheetName val="Метод остатка"/>
      <sheetName val="проч ОС"/>
      <sheetName val="З_база_зел1"/>
      <sheetName val="Списки"/>
      <sheetName val="ВЫВОДЫ"/>
      <sheetName val="ликвидац"/>
      <sheetName val="Согласование"/>
      <sheetName val="522-ПП"/>
      <sheetName val="Земля"/>
      <sheetName val="Затратный"/>
      <sheetName val="Кпп"/>
      <sheetName val="Аналоги_Продажа"/>
      <sheetName val="Сравнение"/>
      <sheetName val="Аналоги_аренда_торговля"/>
      <sheetName val="Доходный"/>
      <sheetName val="представ_докум"/>
      <sheetName val="Общ.сведения"/>
      <sheetName val="Местоположение, земля"/>
      <sheetName val="Техн.характ."/>
      <sheetName val="Распред.пом."/>
      <sheetName val="Таб. износа"/>
      <sheetName val="Кпр"/>
      <sheetName val="коэф кап (2)"/>
      <sheetName val="Таблица_Аренда"/>
      <sheetName val="Аренда"/>
      <sheetName val="Таблицы"/>
      <sheetName val="ПСН"/>
      <sheetName val="ОСЗ"/>
      <sheetName val="Лист1"/>
      <sheetName val="Лист3"/>
      <sheetName val="ОД"/>
      <sheetName val="Литер М"/>
      <sheetName val="Капвложения"/>
      <sheetName val="Резервы"/>
      <sheetName val="Баз предп"/>
      <sheetName val="ЗУ_торг"/>
      <sheetName val="Служебный"/>
      <sheetName val="БДДС Крутьки"/>
      <sheetName val="Tenants SCH  USD"/>
      <sheetName val="оборот средства_год_"/>
      <sheetName val="dk"/>
      <sheetName val="Запрос"/>
      <sheetName val="КлассЗСМК"/>
      <sheetName val="Selling data"/>
      <sheetName val="Print Calc"/>
      <sheetName val="Master Inputs Start Here"/>
      <sheetName val="HBS initial"/>
      <sheetName val="ЛитБ"/>
      <sheetName val="Коррект"/>
      <sheetName val="Трансформация бу в уу(сентябрь)"/>
      <sheetName val="1.ИСХ "/>
      <sheetName val="константы"/>
      <sheetName val="Инд"/>
      <sheetName val="общие_данные"/>
      <sheetName val="общие_сведения"/>
      <sheetName val="Balance_Sheet"/>
      <sheetName val="проч_ОС"/>
      <sheetName val="график_строительства"/>
      <sheetName val="Метод_остатка"/>
      <sheetName val="Общ_сведения"/>
      <sheetName val="Местоположение,_земля"/>
      <sheetName val="Техн_характ_"/>
      <sheetName val="Распред_пом_"/>
      <sheetName val="Таб__износа"/>
      <sheetName val="коэф_кап_(2)"/>
      <sheetName val="Литер_М"/>
      <sheetName val="1_ИСХ_"/>
      <sheetName val="Баз_предп"/>
      <sheetName val="Selling_data"/>
      <sheetName val="Print_Calc"/>
      <sheetName val="Master_Inputs_Start_Here"/>
      <sheetName val="HBS_initial"/>
      <sheetName val="Трансформация_бу_в_уу(сентябрь)"/>
      <sheetName val="БДДС_Крутьки"/>
      <sheetName val="Ставка_Д"/>
      <sheetName val="Use"/>
      <sheetName val="Ставка Д"/>
      <sheetName val="%%"/>
      <sheetName val="const"/>
      <sheetName val="Resume"/>
      <sheetName val="InputTI"/>
      <sheetName val="ПВД"/>
      <sheetName val=" General Assumptions"/>
      <sheetName val="Стоим._стр-ва"/>
      <sheetName val="1.411.1"/>
      <sheetName val="Справочник"/>
      <sheetName val="рын счит"/>
      <sheetName val="Прочие"/>
      <sheetName val="ДО"/>
      <sheetName val="КОММ"/>
      <sheetName val="УПР"/>
      <sheetName val="#ССЫЛКА"/>
      <sheetName val="2.Продажа квартир"/>
      <sheetName val="Rev"/>
      <sheetName val="DCF"/>
      <sheetName val="TOC"/>
      <sheetName val="14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плата за землю"/>
      <sheetName val="Read me first"/>
      <sheetName val="Brif_zdanie"/>
      <sheetName val="Выписка_РФИ"/>
      <sheetName val="Имущество_элементы"/>
      <sheetName val="Объект_курс$"/>
      <sheetName val="Титул"/>
      <sheetName val="мансарда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28.39</v>
          </cell>
        </row>
      </sheetData>
      <sheetData sheetId="4" refreshError="1"/>
      <sheetData sheetId="5">
        <row r="2">
          <cell r="C2">
            <v>28.39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aster Inputs Start Here"/>
      <sheetName val="HBS initial"/>
      <sheetName val="Brif_zdanie"/>
      <sheetName val="Выписка_РФИ"/>
      <sheetName val="Имущество_элементы"/>
      <sheetName val="Параметры"/>
      <sheetName val="Read me first"/>
      <sheetName val="MGSN"/>
      <sheetName val="Спис_Объекты_недв"/>
      <sheetName val="общее"/>
      <sheetName val="восст"/>
      <sheetName val="Data"/>
      <sheetName val="АС 1-Н"/>
      <sheetName val="Для шаблона"/>
      <sheetName val="График строительства"/>
      <sheetName val="свед"/>
      <sheetName val="исход-итог"/>
      <sheetName val="общие сведения"/>
      <sheetName val="Осн_данные"/>
      <sheetName val="затр_подх"/>
      <sheetName val="Balance Sheet"/>
      <sheetName val="Income Statement"/>
      <sheetName val="НФИк"/>
      <sheetName val="Содержание"/>
      <sheetName val="Glossary"/>
      <sheetName val="Запрос"/>
      <sheetName val="Расчет земли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общие данные"/>
      <sheetName val="1"/>
      <sheetName val="ЛитБ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Инвест-пр1"/>
      <sheetName val="Инвест-пр4"/>
      <sheetName val="ДП"/>
      <sheetName val="ТЭП"/>
      <sheetName val="Аренда Торговля"/>
      <sheetName val="Аренда СТО"/>
      <sheetName val="Дисконт"/>
      <sheetName val="Расчет"/>
      <sheetName val="General inputs"/>
      <sheetName val="2.Продажа квартир"/>
      <sheetName val="Use"/>
      <sheetName val="Дебиторы"/>
      <sheetName val="Лист2"/>
      <sheetName val="Осн_данн"/>
      <sheetName val="КО-Инвест"/>
      <sheetName val="Списки"/>
      <sheetName val="Инд"/>
      <sheetName val="Лист1"/>
      <sheetName val="Исходные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Ставка Д"/>
      <sheetName val="#ССЫЛКА"/>
      <sheetName val="ТЭП гостиница"/>
      <sheetName val="рабочий"/>
      <sheetName val="Курсы"/>
      <sheetName val="константы"/>
      <sheetName val="Дхд 639,3"/>
      <sheetName val="Статист"/>
      <sheetName val="Док+Исх"/>
      <sheetName val="ИТОГО"/>
      <sheetName val="d"/>
      <sheetName val="СРЗУ"/>
      <sheetName val="Исходные данные"/>
      <sheetName val="ПП"/>
      <sheetName val="Rev"/>
      <sheetName val="DCF"/>
      <sheetName val="TOC"/>
      <sheetName val="ПВД"/>
      <sheetName val="исх 1"/>
      <sheetName val="ЗУ Промка продажа"/>
      <sheetName val="BS (RAS)"/>
      <sheetName val="инфо"/>
      <sheetName val="график01.09.02"/>
      <sheetName val="Sheet1"/>
      <sheetName val="Лист3"/>
      <sheetName val="tmpB193"/>
      <sheetName val="Баз предп"/>
      <sheetName val="Капвложения"/>
      <sheetName val="9.ДП"/>
      <sheetName val="Смета"/>
      <sheetName val="общий"/>
      <sheetName val="Доходный подход аренда"/>
      <sheetName val="Ср.пр."/>
      <sheetName val="2002(v2)"/>
      <sheetName val=" Assumptions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Sheet2"/>
      <sheetName val="цены цехов"/>
      <sheetName val="Земля"/>
      <sheetName val="финплан стр.п."/>
      <sheetName val="Промка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Исходные условия (константы)"/>
      <sheetName val="Функции"/>
      <sheetName val="Sheet5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ЗУ СП"/>
      <sheetName val="ЗУ_торг"/>
      <sheetName val="исход_итог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#ССЫЛКА"/>
      <sheetName val="_ССЫЛКА"/>
    </sheetNames>
    <sheetDataSet>
      <sheetData sheetId="0" refreshError="1"/>
      <sheetData sheetId="1" refreshError="1"/>
      <sheetData sheetId="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Все счета"/>
      <sheetName val="Титульный лист"/>
      <sheetName val="Все счета-свод по кварталам"/>
      <sheetName val="Все счета-свод по кварталам(2)"/>
      <sheetName val="свод-вексель-квартал"/>
      <sheetName val="Кэшфло"/>
      <sheetName val="поступл"/>
      <sheetName val="Структура ЛП"/>
      <sheetName val="платежи"/>
      <sheetName val="Структура"/>
      <sheetName val="Структура обязательств"/>
      <sheetName val="Уставный капитал"/>
      <sheetName val="Уставный капитал (2)"/>
      <sheetName val="Уставный капитал (3)"/>
      <sheetName val="Уставный капитал (4)"/>
      <sheetName val="приобр"/>
      <sheetName val="админист"/>
      <sheetName val="векселя"/>
      <sheetName val="векселя по квартал"/>
      <sheetName val="декабрь"/>
      <sheetName val="сводн-декабрь"/>
      <sheetName val="р-счет-декабрь"/>
      <sheetName val="План Все+прогноз(последний)"/>
      <sheetName val="свод-векселя"/>
      <sheetName val="Потоки-авиа"/>
      <sheetName val="Москва-ТЭК"/>
      <sheetName val="Москва-АВТО"/>
      <sheetName val="Прочие направления"/>
      <sheetName val="Потоки-Казань"/>
      <sheetName val="свод таб казань"/>
      <sheetName val="Расчет налогов"/>
      <sheetName val="Потоки общеадм расх без Казани"/>
      <sheetName val="свод таб  кроме Казани"/>
      <sheetName val="51-9 мес (2)"/>
      <sheetName val="51-9 мес"/>
      <sheetName val="свод-тек-вал-11 мес"/>
      <sheetName val="тек-вал-11 мес"/>
      <sheetName val="прочие счета"/>
      <sheetName val="все казань"/>
      <sheetName val="рсчет казань"/>
      <sheetName val="касса-казань"/>
      <sheetName val="свод-казань-р-сч-декабрь"/>
      <sheetName val="р-сч-казань-декабрь"/>
      <sheetName val="свод-кас-дек-казань"/>
      <sheetName val="касса-казань-декабрь"/>
      <sheetName val="октябрь"/>
      <sheetName val="ноябрь"/>
      <sheetName val="касса москва -11 мес"/>
      <sheetName val="касса-11 мес свод"/>
      <sheetName val="касса-москва-до декабря"/>
      <sheetName val="ZM"/>
      <sheetName val="Z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DATAOPER</v>
          </cell>
          <cell r="B1" t="str">
            <v>NNDOC</v>
          </cell>
          <cell r="C1" t="str">
            <v>DT_SCHET</v>
          </cell>
          <cell r="D1" t="str">
            <v>DT_CODE</v>
          </cell>
          <cell r="E1" t="str">
            <v>KT_SCHET</v>
          </cell>
          <cell r="F1" t="str">
            <v>KT_CODE</v>
          </cell>
          <cell r="G1" t="str">
            <v>Дебет</v>
          </cell>
          <cell r="H1" t="str">
            <v>NAMEOPER</v>
          </cell>
          <cell r="I1" t="str">
            <v>Кредит</v>
          </cell>
        </row>
        <row r="2">
          <cell r="A2">
            <v>37228</v>
          </cell>
          <cell r="B2" t="str">
            <v>000095</v>
          </cell>
          <cell r="C2" t="str">
            <v>501</v>
          </cell>
          <cell r="E2" t="str">
            <v>711</v>
          </cell>
          <cell r="F2" t="str">
            <v>хоз</v>
          </cell>
          <cell r="G2">
            <v>5000</v>
          </cell>
          <cell r="H2" t="str">
            <v>Возврат подотчетных сумм</v>
          </cell>
        </row>
        <row r="3">
          <cell r="A3">
            <v>37232</v>
          </cell>
          <cell r="B3" t="str">
            <v>000096</v>
          </cell>
          <cell r="C3" t="str">
            <v>501</v>
          </cell>
          <cell r="E3" t="str">
            <v>511</v>
          </cell>
          <cell r="F3" t="str">
            <v>расчеты</v>
          </cell>
          <cell r="G3">
            <v>2350</v>
          </cell>
          <cell r="H3" t="str">
            <v>Получено из банка в кассу по чеку N 5725591</v>
          </cell>
        </row>
        <row r="4">
          <cell r="A4">
            <v>37236</v>
          </cell>
          <cell r="B4" t="str">
            <v>000097</v>
          </cell>
          <cell r="C4" t="str">
            <v>501</v>
          </cell>
          <cell r="E4" t="str">
            <v>511</v>
          </cell>
          <cell r="F4" t="str">
            <v>расчеты</v>
          </cell>
          <cell r="G4">
            <v>9000</v>
          </cell>
          <cell r="H4" t="str">
            <v>Получено из банка в кассу по чеку N 5725592</v>
          </cell>
        </row>
        <row r="5">
          <cell r="A5">
            <v>37242</v>
          </cell>
          <cell r="B5" t="str">
            <v>000098</v>
          </cell>
          <cell r="C5" t="str">
            <v>501</v>
          </cell>
          <cell r="E5" t="str">
            <v>511</v>
          </cell>
          <cell r="F5" t="str">
            <v>расчеты</v>
          </cell>
          <cell r="G5">
            <v>3000</v>
          </cell>
          <cell r="H5" t="str">
            <v>Получено из банка в кассу по чеку N 5725593</v>
          </cell>
        </row>
        <row r="6">
          <cell r="A6">
            <v>37252</v>
          </cell>
          <cell r="B6" t="str">
            <v>000100</v>
          </cell>
          <cell r="C6" t="str">
            <v>501</v>
          </cell>
          <cell r="E6" t="str">
            <v>511</v>
          </cell>
          <cell r="F6" t="str">
            <v>расчеты</v>
          </cell>
          <cell r="G6">
            <v>2000</v>
          </cell>
          <cell r="H6" t="str">
            <v>Получено из банка в кассу по чеку N 5725596</v>
          </cell>
        </row>
        <row r="7">
          <cell r="A7">
            <v>37253</v>
          </cell>
          <cell r="B7" t="str">
            <v>000101</v>
          </cell>
          <cell r="C7" t="str">
            <v>501</v>
          </cell>
          <cell r="E7" t="str">
            <v>511</v>
          </cell>
          <cell r="F7" t="str">
            <v>расчеты</v>
          </cell>
          <cell r="G7">
            <v>24608</v>
          </cell>
          <cell r="H7" t="str">
            <v>Получено из банка в кассу по чеку N 5725597</v>
          </cell>
        </row>
        <row r="8">
          <cell r="A8">
            <v>37244</v>
          </cell>
          <cell r="B8" t="str">
            <v>000099</v>
          </cell>
          <cell r="C8" t="str">
            <v>501</v>
          </cell>
          <cell r="E8" t="str">
            <v>511</v>
          </cell>
          <cell r="F8" t="str">
            <v>расчеты</v>
          </cell>
          <cell r="G8">
            <v>9000</v>
          </cell>
          <cell r="H8" t="str">
            <v>Получено из банка в кассу по чеку N 5725595</v>
          </cell>
        </row>
        <row r="9">
          <cell r="A9">
            <v>37253</v>
          </cell>
          <cell r="B9" t="str">
            <v>000102</v>
          </cell>
          <cell r="C9" t="str">
            <v>501</v>
          </cell>
          <cell r="E9" t="str">
            <v>711</v>
          </cell>
          <cell r="F9" t="str">
            <v>хоз</v>
          </cell>
          <cell r="G9">
            <v>4066.05</v>
          </cell>
          <cell r="H9" t="str">
            <v>Возврат подотчетных сумм</v>
          </cell>
        </row>
        <row r="10">
          <cell r="A10">
            <v>37253</v>
          </cell>
          <cell r="B10" t="str">
            <v>000103</v>
          </cell>
          <cell r="C10" t="str">
            <v>501</v>
          </cell>
          <cell r="E10" t="str">
            <v>711</v>
          </cell>
          <cell r="F10" t="str">
            <v>хоз</v>
          </cell>
          <cell r="G10">
            <v>500</v>
          </cell>
          <cell r="H10" t="str">
            <v>Возврат подотчетных сумм</v>
          </cell>
        </row>
        <row r="11">
          <cell r="A11">
            <v>37228</v>
          </cell>
          <cell r="B11" t="str">
            <v>000094</v>
          </cell>
          <cell r="C11" t="str">
            <v>501</v>
          </cell>
          <cell r="E11" t="str">
            <v>511</v>
          </cell>
          <cell r="F11" t="str">
            <v>расчеты</v>
          </cell>
          <cell r="G11">
            <v>32066</v>
          </cell>
          <cell r="H11" t="str">
            <v>Получено из банка в кассу по чеку N 5725589</v>
          </cell>
        </row>
        <row r="12">
          <cell r="A12">
            <v>37253</v>
          </cell>
          <cell r="B12" t="str">
            <v>000173</v>
          </cell>
          <cell r="C12" t="str">
            <v>511</v>
          </cell>
          <cell r="E12" t="str">
            <v>501</v>
          </cell>
          <cell r="F12" t="str">
            <v>расчеты</v>
          </cell>
          <cell r="H12" t="str">
            <v>Сдано в банк по объявлению N 205</v>
          </cell>
          <cell r="I12">
            <v>4566.05</v>
          </cell>
        </row>
        <row r="13">
          <cell r="A13">
            <v>37228</v>
          </cell>
          <cell r="B13" t="str">
            <v>0162/1</v>
          </cell>
          <cell r="C13" t="str">
            <v>511</v>
          </cell>
          <cell r="E13" t="str">
            <v>501</v>
          </cell>
          <cell r="F13" t="str">
            <v>расчеты</v>
          </cell>
          <cell r="H13" t="str">
            <v>Возврат подотчетных сумм по объявлению № 203</v>
          </cell>
          <cell r="I13">
            <v>5000</v>
          </cell>
        </row>
        <row r="14">
          <cell r="A14">
            <v>37228</v>
          </cell>
          <cell r="B14" t="str">
            <v>000162</v>
          </cell>
          <cell r="C14" t="str">
            <v>70</v>
          </cell>
          <cell r="E14" t="str">
            <v>501</v>
          </cell>
          <cell r="F14" t="str">
            <v>з-п</v>
          </cell>
          <cell r="H14" t="str">
            <v>Выдана заработная плата за ноябрь 2001г.</v>
          </cell>
          <cell r="I14">
            <v>32066</v>
          </cell>
        </row>
        <row r="15">
          <cell r="A15">
            <v>37253</v>
          </cell>
          <cell r="B15" t="str">
            <v>000172</v>
          </cell>
          <cell r="C15" t="str">
            <v>70</v>
          </cell>
          <cell r="E15" t="str">
            <v>501</v>
          </cell>
          <cell r="F15" t="str">
            <v>з-п</v>
          </cell>
          <cell r="H15" t="str">
            <v>Выдана заработная плата за декабрь 2001г.</v>
          </cell>
          <cell r="I15">
            <v>24608</v>
          </cell>
        </row>
        <row r="16">
          <cell r="A16">
            <v>37232</v>
          </cell>
          <cell r="B16" t="str">
            <v>000163</v>
          </cell>
          <cell r="C16" t="str">
            <v>711</v>
          </cell>
          <cell r="D16" t="str">
            <v>000001</v>
          </cell>
          <cell r="E16" t="str">
            <v>501</v>
          </cell>
          <cell r="F16" t="str">
            <v>хоз</v>
          </cell>
          <cell r="H16" t="str">
            <v>Выдано на хозяйственные нужды</v>
          </cell>
          <cell r="I16">
            <v>1149.02</v>
          </cell>
        </row>
        <row r="17">
          <cell r="A17">
            <v>37232</v>
          </cell>
          <cell r="B17" t="str">
            <v>000164</v>
          </cell>
          <cell r="C17" t="str">
            <v>711</v>
          </cell>
          <cell r="D17" t="str">
            <v>000005</v>
          </cell>
          <cell r="E17" t="str">
            <v>501</v>
          </cell>
          <cell r="F17" t="str">
            <v>хоз</v>
          </cell>
          <cell r="H17" t="str">
            <v>Выдано на хозяйственные нужды</v>
          </cell>
          <cell r="I17">
            <v>779.67</v>
          </cell>
        </row>
        <row r="18">
          <cell r="A18">
            <v>37232</v>
          </cell>
          <cell r="B18" t="str">
            <v>000165</v>
          </cell>
          <cell r="C18" t="str">
            <v>711</v>
          </cell>
          <cell r="D18" t="str">
            <v>000007</v>
          </cell>
          <cell r="E18" t="str">
            <v>501</v>
          </cell>
          <cell r="F18" t="str">
            <v>хоз</v>
          </cell>
          <cell r="H18" t="str">
            <v>Выдано на хозяйственные нужды</v>
          </cell>
          <cell r="I18">
            <v>421.31</v>
          </cell>
        </row>
        <row r="19">
          <cell r="A19">
            <v>37236</v>
          </cell>
          <cell r="B19" t="str">
            <v>000166</v>
          </cell>
          <cell r="C19" t="str">
            <v>711</v>
          </cell>
          <cell r="D19" t="str">
            <v>000005</v>
          </cell>
          <cell r="E19" t="str">
            <v>501</v>
          </cell>
          <cell r="F19" t="str">
            <v>хоз</v>
          </cell>
          <cell r="H19" t="str">
            <v>Выдано на хозяйственные нужды</v>
          </cell>
          <cell r="I19">
            <v>9000</v>
          </cell>
        </row>
        <row r="20">
          <cell r="A20">
            <v>37242</v>
          </cell>
          <cell r="B20" t="str">
            <v>000167</v>
          </cell>
          <cell r="C20" t="str">
            <v>711</v>
          </cell>
          <cell r="D20" t="str">
            <v>000008</v>
          </cell>
          <cell r="E20" t="str">
            <v>501</v>
          </cell>
          <cell r="F20" t="str">
            <v>хоз</v>
          </cell>
          <cell r="H20" t="str">
            <v>Выдано на хозяйственные нужды</v>
          </cell>
          <cell r="I20">
            <v>3000</v>
          </cell>
        </row>
        <row r="21">
          <cell r="A21">
            <v>37244</v>
          </cell>
          <cell r="B21" t="str">
            <v>000168</v>
          </cell>
          <cell r="C21" t="str">
            <v>711</v>
          </cell>
          <cell r="D21" t="str">
            <v>000008</v>
          </cell>
          <cell r="E21" t="str">
            <v>501</v>
          </cell>
          <cell r="F21" t="str">
            <v>хоз</v>
          </cell>
          <cell r="H21" t="str">
            <v>Выдано на хозяйственные нужды</v>
          </cell>
          <cell r="I21">
            <v>1000</v>
          </cell>
        </row>
        <row r="22">
          <cell r="A22">
            <v>37244</v>
          </cell>
          <cell r="B22" t="str">
            <v>000169</v>
          </cell>
          <cell r="C22" t="str">
            <v>711</v>
          </cell>
          <cell r="D22" t="str">
            <v>000005</v>
          </cell>
          <cell r="E22" t="str">
            <v>501</v>
          </cell>
          <cell r="F22" t="str">
            <v>ком</v>
          </cell>
          <cell r="H22" t="str">
            <v>Выдано на командировочные расходы</v>
          </cell>
          <cell r="I22">
            <v>8000</v>
          </cell>
        </row>
        <row r="23">
          <cell r="A23">
            <v>37252</v>
          </cell>
          <cell r="B23" t="str">
            <v>000170</v>
          </cell>
          <cell r="C23" t="str">
            <v>711</v>
          </cell>
          <cell r="D23" t="str">
            <v>000008</v>
          </cell>
          <cell r="E23" t="str">
            <v>501</v>
          </cell>
          <cell r="F23" t="str">
            <v>хоз</v>
          </cell>
          <cell r="H23" t="str">
            <v>Выдано на хозяйственные нужды</v>
          </cell>
          <cell r="I23">
            <v>677.24</v>
          </cell>
        </row>
        <row r="24">
          <cell r="A24">
            <v>37252</v>
          </cell>
          <cell r="B24" t="str">
            <v>000171</v>
          </cell>
          <cell r="C24" t="str">
            <v>711</v>
          </cell>
          <cell r="D24" t="str">
            <v>000005</v>
          </cell>
          <cell r="E24" t="str">
            <v>501</v>
          </cell>
          <cell r="F24" t="str">
            <v>хоз</v>
          </cell>
          <cell r="H24" t="str">
            <v>Выдано на хозяйственные нужды</v>
          </cell>
          <cell r="I24">
            <v>1322.76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 2005"/>
      <sheetName val="свод"/>
      <sheetName val="Зак.1"/>
      <sheetName val="Зак.2"/>
      <sheetName val="МФТЦ"/>
      <sheetName val="проч"/>
      <sheetName val="ВводД"/>
      <sheetName val="СПИСОК"/>
      <sheetName val="ФС+"/>
      <sheetName val="Гр+"/>
      <sheetName val="Ср-сд"/>
      <sheetName val="Об"/>
      <sheetName val="Сводная ЛССМУ"/>
      <sheetName val="ТИТУЛЬНЫЙ_ЛИСТ_2005"/>
      <sheetName val="Зак_1"/>
      <sheetName val="Зак_2"/>
      <sheetName val="Сводная_ЛССМУ"/>
      <sheetName val="ТИТУЛЬНЫЙ_ЛИСТ_20051"/>
      <sheetName val="Зак_11"/>
      <sheetName val="Зак_21"/>
      <sheetName val="Сводная_ЛССМУ1"/>
      <sheetName val="ТИТУЛЬНЫЙ_ЛИСТ_20052"/>
      <sheetName val="Зак_12"/>
      <sheetName val="Зак_22"/>
      <sheetName val="Сводная_ЛССМУ2"/>
      <sheetName val="ТИТУЛЬНЫЙ_ЛИСТ_20053"/>
      <sheetName val="Зак_13"/>
      <sheetName val="Зак_23"/>
      <sheetName val="Сводная_ЛССМУ3"/>
      <sheetName val="Справочник"/>
      <sheetName val="лист4"/>
      <sheetName val="fitoutconfcentre"/>
      <sheetName val="Лист1-ЛССМУ"/>
      <sheetName val="Оплата по графикам"/>
      <sheetName val="Список Группы"/>
      <sheetName val="План МСФО счетов"/>
      <sheetName val="Параметры"/>
      <sheetName val="Breakdown CAPEX (PBC)"/>
      <sheetName val="реализация площадей на 29.12.11"/>
      <sheetName val="Narratives-Subsidiarie"/>
      <sheetName val="Лист1"/>
      <sheetName val="sр+"/>
      <sheetName val="inputs"/>
      <sheetName val="comps"/>
      <sheetName val="natl consult reg."/>
      <sheetName val="cur_projects pl"/>
      <sheetName val="баланс"/>
      <sheetName val="Master Input Sheet Start Here"/>
      <sheetName val="Расчет выручки"/>
      <sheetName val="CapEx_Depr"/>
      <sheetName val="WorkCap"/>
      <sheetName val="HBS"/>
      <sheetName val="HIS"/>
      <sheetName val="HIS initial"/>
      <sheetName val="Assets"/>
      <sheetName val="Liab"/>
      <sheetName val="Таблица"/>
      <sheetName val="1.1 Inputs"/>
      <sheetName val="Черновик"/>
      <sheetName val="импортеры99"/>
      <sheetName val="импортеры96"/>
      <sheetName val="импортеры97"/>
      <sheetName val="Summary"/>
      <sheetName val="mex95ib"/>
      <sheetName val="Цены СНГ"/>
      <sheetName val="Forecast"/>
      <sheetName val="revenue"/>
      <sheetName val="POW"/>
      <sheetName val="Данные по очереди"/>
      <sheetName val="Данные по проекту"/>
      <sheetName val="rates"/>
      <sheetName val="AOP Summary-2"/>
      <sheetName val="TABLO-3"/>
      <sheetName val="рт2опервнерел"/>
      <sheetName val="10"/>
      <sheetName val="5"/>
      <sheetName val="14"/>
      <sheetName val="Нар.водопр."/>
      <sheetName val="Нар.освещение"/>
      <sheetName val="подкл.баш.крана"/>
      <sheetName val="Стоимости"/>
      <sheetName val="Z"/>
      <sheetName val="Cash2"/>
      <sheetName val="Аллокация затрат Комов"/>
      <sheetName val="Сводный-затраты"/>
      <sheetName val="input data"/>
      <sheetName val="кампания 2014 г."/>
      <sheetName val="ТИТУЛЬНЫЙ_ЛИСТ_20054"/>
      <sheetName val="Зак_14"/>
      <sheetName val="Зак_24"/>
      <sheetName val="Сводная_ЛССМУ4"/>
      <sheetName val="Оплата_по_графикам"/>
      <sheetName val="Список_Группы"/>
      <sheetName val="План_МСФО_счетов"/>
      <sheetName val="реализация_площадей_на_29_12_11"/>
      <sheetName val="Breakdown_CAPEX_(PBC)"/>
      <sheetName val="Master_Input_Sheet_Start_Here"/>
      <sheetName val="Расчет_выручки"/>
      <sheetName val="HIS_initial"/>
      <sheetName val="1_1_Inputs"/>
      <sheetName val="natl_consult_reg_"/>
      <sheetName val="cur_projects_pl"/>
      <sheetName val="Цены_СНГ"/>
      <sheetName val="текущие"/>
      <sheetName val="перечи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>
            <v>0.36</v>
          </cell>
          <cell r="E1">
            <v>0.64</v>
          </cell>
          <cell r="M1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ный"/>
      <sheetName val="Характеристика"/>
      <sheetName val="Аналоги  и расчет_Земля"/>
      <sheetName val="котировки"/>
      <sheetName val="ставка капитализации"/>
      <sheetName val="ЗП"/>
      <sheetName val="К!!!"/>
      <sheetName val="Затраты на реконструкцию"/>
      <sheetName val="сравнительный"/>
      <sheetName val="ДП (Ар_Офис)"/>
      <sheetName val="ДДП (Итог)"/>
      <sheetName val="согласование результатов"/>
      <sheetName val="Лист1"/>
      <sheetName val="Лист2"/>
      <sheetName val="Лист3"/>
      <sheetName val="Лист4"/>
    </sheetNames>
    <sheetDataSet>
      <sheetData sheetId="0"/>
      <sheetData sheetId="1">
        <row r="2">
          <cell r="D2">
            <v>25.393799999999999</v>
          </cell>
        </row>
        <row r="37">
          <cell r="B37">
            <v>15856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26 корпус"/>
      <sheetName val="Долгоживущие"/>
      <sheetName val="#REF"/>
      <sheetName val="#ССЫЛКА"/>
      <sheetName val="ЛитБ"/>
      <sheetName val="Исходные"/>
      <sheetName val="Общая"/>
      <sheetName val="RENT ROLL"/>
      <sheetName val="COVER"/>
      <sheetName val="свед"/>
      <sheetName val="Параметры"/>
      <sheetName val="Константы"/>
      <sheetName val="ТЭП гостиница"/>
      <sheetName val="Исх_данные"/>
      <sheetName val="исход-итог"/>
      <sheetName val="Glossary"/>
      <sheetName val="Спис_Объекты_недв"/>
      <sheetName val="общее"/>
      <sheetName val="общие сведения"/>
      <sheetName val="Balance Sheet"/>
      <sheetName val="восст"/>
      <sheetName val="затр_подх"/>
      <sheetName val="Метод остатка"/>
      <sheetName val="Инвест-пр1"/>
      <sheetName val="Инвест-пр4"/>
      <sheetName val="Sheet2"/>
      <sheetName val="РабочийД"/>
      <sheetName val="з_колп_универс_02_Сморгонский"/>
      <sheetName val="Brif_zdanie"/>
      <sheetName val="Содержание"/>
      <sheetName val="НФИк"/>
      <sheetName val="General inputs"/>
      <sheetName val="База"/>
      <sheetName val="Данные для расчета"/>
      <sheetName val="Исходные данные"/>
      <sheetName val="Сибнефть"/>
      <sheetName val="Усинск_Роснефть"/>
      <sheetName val="Группы"/>
      <sheetName val="Справочники"/>
      <sheetName val="Income Statement"/>
      <sheetName val="(аренда_потом_торг)"/>
      <sheetName val="1"/>
      <sheetName val="Свод"/>
      <sheetName val=""/>
      <sheetName val="Служебный"/>
      <sheetName val="Rent Assumptions"/>
      <sheetName val="05г."/>
      <sheetName val="Текст"/>
      <sheetName val="проекты-помесячно вн.рынок"/>
      <sheetName val="d"/>
      <sheetName val="СРЗУ"/>
      <sheetName val="ликвидность"/>
      <sheetName val="Balance"/>
      <sheetName val="ЗП"/>
      <sheetName val="Итоги"/>
      <sheetName val="ЗУ_торг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себ"/>
      <sheetName val="графики"/>
      <sheetName val="ф2"/>
      <sheetName val="ф1"/>
      <sheetName val="дебкред"/>
      <sheetName val="ФХД"/>
      <sheetName val="actives"/>
      <sheetName val="Заголовок"/>
      <sheetName val="Аналоги аренда"/>
      <sheetName val="con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УПСС"/>
      <sheetName val="SDC"/>
      <sheetName val="К"/>
      <sheetName val="Кдев"/>
      <sheetName val="ПВС"/>
      <sheetName val="Износ"/>
      <sheetName val="Земля аналоги"/>
      <sheetName val="Земля расчет"/>
      <sheetName val="Корректировка"/>
      <sheetName val="Затратный подход"/>
      <sheetName val="Доходный"/>
      <sheetName val="Ставка дисконтирования"/>
      <sheetName val="Согласование"/>
      <sheetName val="ликв"/>
    </sheetNames>
    <sheetDataSet>
      <sheetData sheetId="0">
        <row r="7">
          <cell r="B7">
            <v>7139.4</v>
          </cell>
        </row>
        <row r="8">
          <cell r="B8">
            <v>3</v>
          </cell>
        </row>
        <row r="9">
          <cell r="B9">
            <v>28867.31</v>
          </cell>
        </row>
        <row r="10">
          <cell r="B10">
            <v>1806.1</v>
          </cell>
        </row>
        <row r="11">
          <cell r="B11" t="str">
            <v>4 + тех.этаж</v>
          </cell>
        </row>
        <row r="12">
          <cell r="B12">
            <v>1700.1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26.9025</v>
          </cell>
        </row>
      </sheetData>
      <sheetData sheetId="12"/>
      <sheetData sheetId="13"/>
      <sheetData sheetId="1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=&gt;"/>
      <sheetName val="ВГО"/>
      <sheetName val="ТЗ"/>
      <sheetName val="Вложения"/>
      <sheetName val="Расч.листы=&gt;"/>
      <sheetName val="ДК_корр"/>
      <sheetName val="Исх.инфо=&gt;"/>
      <sheetName val="ДК_исх"/>
      <sheetName val="шаблоны=&gt;"/>
      <sheetName val="расш_ББ_1"/>
      <sheetName val="расш_ББ_2"/>
      <sheetName val="расш доходов"/>
      <sheetName val="расш расходов"/>
      <sheetName val="шифры к ББ"/>
      <sheetName val="шифры к д и р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 t="str">
            <v>земля (сдаваемая в аренду)</v>
          </cell>
          <cell r="C15">
            <v>1110</v>
          </cell>
        </row>
        <row r="16">
          <cell r="B16" t="str">
            <v>земля (занимаемая с целью основного производства)</v>
          </cell>
          <cell r="C16">
            <v>1150</v>
          </cell>
        </row>
        <row r="17">
          <cell r="B17" t="str">
            <v>здания (сдаваемые в аренду)</v>
          </cell>
          <cell r="C17">
            <v>1160</v>
          </cell>
        </row>
        <row r="18">
          <cell r="B18" t="str">
            <v>здания (занимаемые с целью основного производства)</v>
          </cell>
          <cell r="C18">
            <v>1210</v>
          </cell>
        </row>
        <row r="19">
          <cell r="B19" t="str">
            <v>оборудование и транспорт</v>
          </cell>
        </row>
        <row r="20">
          <cell r="B20" t="str">
            <v>оборудование и транспорт переданные в лизинг</v>
          </cell>
        </row>
        <row r="21">
          <cell r="B21" t="str">
            <v>инвестиции в строительство и производство</v>
          </cell>
        </row>
        <row r="22">
          <cell r="B22" t="str">
            <v>инвестиции в строительство недвижимости, временно неиспользуемой в основной деятельности</v>
          </cell>
        </row>
        <row r="23">
          <cell r="B23" t="str">
            <v>незавершенное строительство</v>
          </cell>
        </row>
        <row r="24">
          <cell r="B24" t="str">
            <v>нематериальные активы</v>
          </cell>
        </row>
        <row r="25">
          <cell r="B25" t="str">
            <v>внеоборотные запасы</v>
          </cell>
        </row>
        <row r="26">
          <cell r="B26" t="str">
            <v>запасы</v>
          </cell>
        </row>
      </sheetData>
      <sheetData sheetId="10">
        <row r="16">
          <cell r="B16" t="str">
            <v>депозиты в банках</v>
          </cell>
        </row>
      </sheetData>
      <sheetData sheetId="11">
        <row r="13">
          <cell r="B13" t="str">
            <v>% к получению от банков</v>
          </cell>
          <cell r="C13">
            <v>2110</v>
          </cell>
        </row>
        <row r="14">
          <cell r="B14" t="str">
            <v>% к получению от прочих организаций</v>
          </cell>
          <cell r="C14">
            <v>2310</v>
          </cell>
        </row>
        <row r="15">
          <cell r="B15" t="str">
            <v>Доходы от продажи акций (кроме акций дочерних компаний) и облигаций</v>
          </cell>
          <cell r="C15">
            <v>2320</v>
          </cell>
        </row>
        <row r="16">
          <cell r="B16" t="str">
            <v>Доходы от операций в иностранной валюте</v>
          </cell>
          <cell r="C16">
            <v>2340</v>
          </cell>
        </row>
        <row r="17">
          <cell r="B17" t="str">
            <v>Доходы от переоценки иностранной валюты</v>
          </cell>
        </row>
        <row r="18">
          <cell r="B18" t="str">
            <v>Штрафы, пени, неустойки полученные</v>
          </cell>
        </row>
        <row r="19">
          <cell r="B19" t="str">
            <v>Продажа готовой продукци (выручка)</v>
          </cell>
        </row>
        <row r="20">
          <cell r="B20" t="str">
            <v>Доходы от сдачи имущества в аренду</v>
          </cell>
        </row>
        <row r="21">
          <cell r="B21" t="str">
            <v>Доходы от продажи долей участия в дочерних компаниях</v>
          </cell>
        </row>
        <row r="22">
          <cell r="B22" t="str">
            <v>Доходы по операциям с имуществом, полученным по договорам отступного, залога</v>
          </cell>
        </row>
        <row r="23">
          <cell r="B23" t="str">
            <v>Прочие доходы</v>
          </cell>
        </row>
        <row r="24">
          <cell r="B24" t="str">
            <v>Реализация права требования (доходы)</v>
          </cell>
        </row>
      </sheetData>
      <sheetData sheetId="12">
        <row r="13">
          <cell r="B13" t="str">
            <v>% к уплате банкам</v>
          </cell>
          <cell r="C13">
            <v>2120</v>
          </cell>
        </row>
        <row r="14">
          <cell r="B14" t="str">
            <v>% к уплате прочим организациям</v>
          </cell>
          <cell r="C14">
            <v>2210</v>
          </cell>
        </row>
        <row r="15">
          <cell r="B15" t="str">
            <v>За расчетное обслуживание и ведение банковских счетов</v>
          </cell>
          <cell r="C15">
            <v>2220</v>
          </cell>
        </row>
        <row r="16">
          <cell r="B16" t="str">
            <v>Расходы от продажи акций (кроме акций дочерних компаний) и облигаций</v>
          </cell>
          <cell r="C16">
            <v>2330</v>
          </cell>
        </row>
        <row r="17">
          <cell r="B17" t="str">
            <v>Расходы от операций в иностранной валюте</v>
          </cell>
          <cell r="C17">
            <v>2350</v>
          </cell>
        </row>
        <row r="18">
          <cell r="B18" t="str">
            <v>Расходы от переоценки иностранной валюты</v>
          </cell>
        </row>
        <row r="19">
          <cell r="B19" t="str">
            <v>Продажа готовой продукци (себестоимость)</v>
          </cell>
        </row>
        <row r="20">
          <cell r="B20" t="str">
            <v>Расходы от продажи долей участия в дочерних компаниях</v>
          </cell>
        </row>
        <row r="21">
          <cell r="B21" t="str">
            <v>Расходы по аренде</v>
          </cell>
        </row>
        <row r="22">
          <cell r="B22" t="str">
            <v>Амортизация основных средств, нематериальных активов</v>
          </cell>
        </row>
        <row r="23">
          <cell r="B23" t="str">
            <v>Расходы на охрану</v>
          </cell>
        </row>
        <row r="24">
          <cell r="B24" t="str">
            <v>Затраты на персонал</v>
          </cell>
        </row>
        <row r="25">
          <cell r="B25" t="str">
            <v>Расходы по налогам на заработную плату</v>
          </cell>
        </row>
        <row r="26">
          <cell r="B26" t="str">
            <v>Профессиональные услуги</v>
          </cell>
        </row>
        <row r="27">
          <cell r="B27" t="str">
            <v>Расходы на страхование</v>
          </cell>
        </row>
        <row r="28">
          <cell r="B28" t="str">
            <v>Реализация права требования (расходы)</v>
          </cell>
        </row>
        <row r="29">
          <cell r="B29" t="str">
            <v>Ремонт и эксплуатация основных средств</v>
          </cell>
        </row>
        <row r="30">
          <cell r="B30" t="str">
            <v>Информационные и телекоммуникационные услуги</v>
          </cell>
        </row>
        <row r="31">
          <cell r="B31" t="str">
            <v>Расходы по налогам (за исключения налога на прибыль и ЗП)</v>
          </cell>
        </row>
        <row r="32">
          <cell r="B32" t="str">
            <v>Штрафы, пени, неустойки уплаченные</v>
          </cell>
        </row>
        <row r="33">
          <cell r="B33" t="str">
            <v>Прочие расходы</v>
          </cell>
        </row>
      </sheetData>
      <sheetData sheetId="13"/>
      <sheetData sheetId="14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R4" t="str">
            <v>Электроснабжение имеется</v>
          </cell>
          <cell r="S4" t="str">
            <v>Водоснабжение имеется</v>
          </cell>
        </row>
        <row r="5">
          <cell r="R5" t="str">
            <v>Электроснабжение отсутствует</v>
          </cell>
          <cell r="S5" t="str">
            <v>Водоснабжение отсутствует</v>
          </cell>
        </row>
        <row r="6">
          <cell r="R6" t="str">
            <v>-</v>
          </cell>
          <cell r="S6" t="str">
            <v>-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</sheetNames>
    <sheetDataSet>
      <sheetData sheetId="0"/>
      <sheetData sheetId="1"/>
      <sheetData sheetId="2"/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/>
      <sheetData sheetId="91">
        <row r="3">
          <cell r="C3">
            <v>100604.08</v>
          </cell>
        </row>
      </sheetData>
      <sheetData sheetId="92"/>
      <sheetData sheetId="93"/>
      <sheetData sheetId="94"/>
      <sheetData sheetId="95">
        <row r="3">
          <cell r="C3">
            <v>100604.08</v>
          </cell>
        </row>
      </sheetData>
      <sheetData sheetId="96"/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0"/>
  <sheetViews>
    <sheetView showGridLines="0" topLeftCell="A4" zoomScaleNormal="100" workbookViewId="0">
      <selection activeCell="C25" sqref="C25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4" t="s">
        <v>277</v>
      </c>
    </row>
    <row r="6" spans="2:8" ht="15.75" x14ac:dyDescent="0.25">
      <c r="H6" s="55" t="s">
        <v>278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6" t="s">
        <v>279</v>
      </c>
      <c r="C11" s="41"/>
      <c r="D11" s="41"/>
      <c r="E11" s="41"/>
      <c r="F11" s="41"/>
      <c r="G11" s="41"/>
      <c r="H11" s="41"/>
    </row>
    <row r="12" spans="2:8" ht="20.25" x14ac:dyDescent="0.25">
      <c r="B12" s="57" t="s">
        <v>280</v>
      </c>
      <c r="C12" s="41"/>
      <c r="D12" s="41"/>
      <c r="F12" s="41"/>
      <c r="G12" s="41"/>
    </row>
    <row r="13" spans="2:8" ht="23.25" x14ac:dyDescent="0.35">
      <c r="B13" s="61" t="s">
        <v>0</v>
      </c>
      <c r="C13" s="58" t="s">
        <v>281</v>
      </c>
      <c r="E13" s="58"/>
      <c r="F13" s="41"/>
    </row>
    <row r="14" spans="2:8" x14ac:dyDescent="0.25">
      <c r="C14" s="41"/>
    </row>
    <row r="15" spans="2:8" ht="23.25" x14ac:dyDescent="0.35">
      <c r="B15" s="61" t="s">
        <v>282</v>
      </c>
      <c r="C15" s="41"/>
    </row>
    <row r="16" spans="2:8" ht="18" x14ac:dyDescent="0.25">
      <c r="B16" s="59" t="s">
        <v>283</v>
      </c>
      <c r="C16" s="60" t="s">
        <v>281</v>
      </c>
    </row>
    <row r="17" spans="2:8" ht="18" x14ac:dyDescent="0.25">
      <c r="B17" s="59" t="s">
        <v>290</v>
      </c>
      <c r="C17" s="60" t="s">
        <v>281</v>
      </c>
      <c r="F17" s="41"/>
      <c r="H17" s="41"/>
    </row>
    <row r="18" spans="2:8" ht="18" x14ac:dyDescent="0.25">
      <c r="B18" s="59" t="s">
        <v>95</v>
      </c>
      <c r="C18" s="60" t="s">
        <v>281</v>
      </c>
      <c r="F18" s="41"/>
      <c r="H18" s="41"/>
    </row>
    <row r="19" spans="2:8" ht="18" x14ac:dyDescent="0.25">
      <c r="B19" s="59" t="s">
        <v>284</v>
      </c>
      <c r="C19" s="60" t="s">
        <v>281</v>
      </c>
      <c r="D19" s="60"/>
      <c r="F19" s="41"/>
      <c r="H19" s="41"/>
    </row>
    <row r="20" spans="2:8" ht="18" x14ac:dyDescent="0.25">
      <c r="B20" s="59" t="s">
        <v>285</v>
      </c>
      <c r="C20" s="60" t="s">
        <v>281</v>
      </c>
      <c r="F20" s="41"/>
      <c r="H20" s="41"/>
    </row>
    <row r="21" spans="2:8" x14ac:dyDescent="0.25"/>
    <row r="22" spans="2:8" ht="23.25" x14ac:dyDescent="0.35">
      <c r="B22" s="61" t="s">
        <v>286</v>
      </c>
    </row>
    <row r="23" spans="2:8" ht="18" x14ac:dyDescent="0.25">
      <c r="B23" s="59" t="s">
        <v>287</v>
      </c>
      <c r="C23" s="60" t="s">
        <v>281</v>
      </c>
    </row>
    <row r="24" spans="2:8" ht="18" x14ac:dyDescent="0.25">
      <c r="B24" s="59" t="s">
        <v>288</v>
      </c>
      <c r="C24" s="60" t="s">
        <v>281</v>
      </c>
    </row>
    <row r="25" spans="2:8" ht="18" x14ac:dyDescent="0.25">
      <c r="B25" s="59" t="s">
        <v>289</v>
      </c>
      <c r="C25" s="60" t="s">
        <v>281</v>
      </c>
    </row>
    <row r="26" spans="2:8" ht="18" x14ac:dyDescent="0.25">
      <c r="H26" s="60"/>
    </row>
    <row r="27" spans="2:8" x14ac:dyDescent="0.25"/>
    <row r="28" spans="2:8" x14ac:dyDescent="0.25"/>
    <row r="29" spans="2:8" x14ac:dyDescent="0.25"/>
    <row r="30" spans="2:8" x14ac:dyDescent="0.25"/>
  </sheetData>
  <hyperlinks>
    <hyperlink ref="H6" r:id="rId1" xr:uid="{57C94E8A-03F1-4585-82FB-F47F9830677E}"/>
    <hyperlink ref="C16" location="'Operating Results'!A2" tooltip="wffee" display="&gt;&gt;" xr:uid="{3B585DCE-E6F0-4D6C-8968-48FA9A6D7EBD}"/>
    <hyperlink ref="C17" location="'Operating Results'!A46" tooltip="wffee" display="&gt;&gt;" xr:uid="{835EE55F-AD7E-473C-9378-5737336DE5FD}"/>
    <hyperlink ref="C18" location="'Assets valuation 2023'!A1" tooltip="wffee" display="&gt;&gt;" xr:uid="{F4995EFF-802A-4FAE-9EC7-58E9BAA6C6CE}"/>
    <hyperlink ref="C20" location="PL!A83" tooltip="wffee" display="&gt;&gt;" xr:uid="{62FD9178-B516-43E6-AEAF-467C0A1EB7B5}"/>
    <hyperlink ref="C23" location="BS!A2" tooltip="wffee" display="&gt;&gt;" xr:uid="{BD7DB65C-166A-498D-B077-5D36F2DF03D9}"/>
    <hyperlink ref="C24" location="PL!A2" tooltip="wffee" display="&gt;&gt;" xr:uid="{C7CF6286-43BF-4447-B310-5F05B2C367B3}"/>
    <hyperlink ref="C25" location="CF!A2" tooltip="wffee" display="&gt;&gt;" xr:uid="{835BAC53-06CC-441C-B94C-0D2799090942}"/>
    <hyperlink ref="C19" location="'Land Bank'!A130" tooltip="wffee" display="&gt;&gt;" xr:uid="{4D33F9BC-3121-4B4B-A73D-93FEAB04B178}"/>
    <hyperlink ref="C13" location="Overview!A2" tooltip="wffee" display="&gt;&gt;" xr:uid="{A7F47DA2-FE6F-41CB-9FC6-CAED0BFDB594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P52"/>
  <sheetViews>
    <sheetView showGridLines="0" topLeftCell="A7" zoomScaleNormal="100" workbookViewId="0">
      <pane xSplit="1" topLeftCell="B1" activePane="topRight" state="frozen"/>
      <selection pane="topRight" activeCell="R28" sqref="R28"/>
    </sheetView>
  </sheetViews>
  <sheetFormatPr defaultColWidth="9.140625" defaultRowHeight="14.25" x14ac:dyDescent="0.2"/>
  <cols>
    <col min="1" max="1" width="51.7109375" style="41" bestFit="1" customWidth="1"/>
    <col min="2" max="15" width="9.140625" style="6"/>
    <col min="16" max="16384" width="9.140625" style="41"/>
  </cols>
  <sheetData>
    <row r="1" spans="1:16" x14ac:dyDescent="0.2">
      <c r="A1" s="6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6" ht="18" x14ac:dyDescent="0.25">
      <c r="A2" s="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6" x14ac:dyDescent="0.2">
      <c r="A3" s="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6" x14ac:dyDescent="0.2">
      <c r="A4" s="6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6" x14ac:dyDescent="0.2">
      <c r="A5" s="3"/>
      <c r="B5" s="106" t="s">
        <v>2</v>
      </c>
      <c r="C5" s="4">
        <v>2011</v>
      </c>
      <c r="D5" s="4">
        <v>2012</v>
      </c>
      <c r="E5" s="4">
        <v>2013</v>
      </c>
      <c r="F5" s="4">
        <v>2014</v>
      </c>
      <c r="G5" s="4">
        <v>2015</v>
      </c>
      <c r="H5" s="4">
        <v>2016</v>
      </c>
      <c r="I5" s="4">
        <v>2017</v>
      </c>
      <c r="J5" s="4">
        <v>2018</v>
      </c>
      <c r="K5" s="4">
        <v>2019</v>
      </c>
      <c r="L5" s="4">
        <v>2020</v>
      </c>
      <c r="M5" s="4">
        <v>2021</v>
      </c>
      <c r="N5" s="4">
        <v>2022</v>
      </c>
      <c r="O5" s="4">
        <v>2023</v>
      </c>
      <c r="P5" s="4">
        <v>2024</v>
      </c>
    </row>
    <row r="6" spans="1:16" x14ac:dyDescent="0.2">
      <c r="A6" s="5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P6" s="6"/>
    </row>
    <row r="7" spans="1:16" x14ac:dyDescent="0.2">
      <c r="A7" s="6" t="s">
        <v>4</v>
      </c>
      <c r="B7" s="7" t="s">
        <v>5</v>
      </c>
      <c r="C7" s="8">
        <f>PL!B9</f>
        <v>22741</v>
      </c>
      <c r="D7" s="8">
        <f>PL!C9</f>
        <v>26894</v>
      </c>
      <c r="E7" s="8">
        <f>PL!D9</f>
        <v>39921</v>
      </c>
      <c r="F7" s="8">
        <f>PL!E9</f>
        <v>51481</v>
      </c>
      <c r="G7" s="8">
        <f>PL!F9</f>
        <v>42404</v>
      </c>
      <c r="H7" s="8">
        <f>PL!G9</f>
        <v>49022</v>
      </c>
      <c r="I7" s="8">
        <f>PL!H9</f>
        <v>70645</v>
      </c>
      <c r="J7" s="8">
        <f>PL!I9</f>
        <v>72327</v>
      </c>
      <c r="K7" s="8">
        <f>PL!J9</f>
        <v>84330</v>
      </c>
      <c r="L7" s="8">
        <f>PL!K9</f>
        <v>78655</v>
      </c>
      <c r="M7" s="8">
        <f>PL!L9</f>
        <v>87138</v>
      </c>
      <c r="N7" s="8">
        <v>80556</v>
      </c>
      <c r="O7" s="8">
        <v>88791</v>
      </c>
      <c r="P7" s="8">
        <f>130946</f>
        <v>130946</v>
      </c>
    </row>
    <row r="8" spans="1:16" x14ac:dyDescent="0.2">
      <c r="A8" s="6" t="s">
        <v>6</v>
      </c>
      <c r="B8" s="7" t="s">
        <v>5</v>
      </c>
      <c r="C8" s="8">
        <v>10853</v>
      </c>
      <c r="D8" s="8">
        <v>9400</v>
      </c>
      <c r="E8" s="8">
        <v>12368</v>
      </c>
      <c r="F8" s="8">
        <v>15796</v>
      </c>
      <c r="G8" s="8">
        <v>12999</v>
      </c>
      <c r="H8" s="8">
        <v>12209</v>
      </c>
      <c r="I8" s="8">
        <v>18001</v>
      </c>
      <c r="J8" s="8">
        <v>17055</v>
      </c>
      <c r="K8" s="8">
        <v>22735</v>
      </c>
      <c r="L8" s="8">
        <v>25796</v>
      </c>
      <c r="M8" s="70">
        <v>31041</v>
      </c>
      <c r="N8" s="70">
        <v>30514</v>
      </c>
      <c r="O8" s="70">
        <v>31261</v>
      </c>
      <c r="P8" s="70">
        <f>42425</f>
        <v>42425</v>
      </c>
    </row>
    <row r="9" spans="1:16" x14ac:dyDescent="0.2">
      <c r="A9" s="6" t="s">
        <v>7</v>
      </c>
      <c r="B9" s="7" t="s">
        <v>5</v>
      </c>
      <c r="C9" s="8">
        <f>PL!B17</f>
        <v>10853</v>
      </c>
      <c r="D9" s="8">
        <f>PL!C17</f>
        <v>9400</v>
      </c>
      <c r="E9" s="8">
        <f>PL!D17</f>
        <v>12368</v>
      </c>
      <c r="F9" s="8">
        <f>PL!E17</f>
        <v>15796</v>
      </c>
      <c r="G9" s="8">
        <f>PL!F17</f>
        <v>12999</v>
      </c>
      <c r="H9" s="8">
        <f>PL!G17</f>
        <v>12209</v>
      </c>
      <c r="I9" s="8">
        <f>PL!H17</f>
        <v>18001</v>
      </c>
      <c r="J9" s="8">
        <f>PL!I17</f>
        <v>17055</v>
      </c>
      <c r="K9" s="8">
        <f>PL!J17</f>
        <v>20057</v>
      </c>
      <c r="L9" s="8">
        <f>PL!K17</f>
        <v>21915</v>
      </c>
      <c r="M9" s="8">
        <f>PL!L17</f>
        <v>27782</v>
      </c>
      <c r="N9" s="8">
        <v>28203</v>
      </c>
      <c r="O9" s="8">
        <v>29971</v>
      </c>
      <c r="P9" s="8">
        <f>41378</f>
        <v>41378</v>
      </c>
    </row>
    <row r="10" spans="1:16" x14ac:dyDescent="0.2">
      <c r="A10" s="6" t="s">
        <v>8</v>
      </c>
      <c r="B10" s="7" t="s">
        <v>5</v>
      </c>
      <c r="C10" s="8">
        <v>8201</v>
      </c>
      <c r="D10" s="8">
        <v>6931</v>
      </c>
      <c r="E10" s="8">
        <v>9430</v>
      </c>
      <c r="F10" s="8">
        <v>10611</v>
      </c>
      <c r="G10" s="8">
        <v>7675</v>
      </c>
      <c r="H10" s="8">
        <v>7301</v>
      </c>
      <c r="I10" s="8">
        <v>14823</v>
      </c>
      <c r="J10" s="8">
        <v>6118</v>
      </c>
      <c r="K10" s="8">
        <v>11175</v>
      </c>
      <c r="L10" s="8">
        <v>16482</v>
      </c>
      <c r="M10" s="6">
        <f>PL!L58</f>
        <v>21139</v>
      </c>
      <c r="N10" s="64">
        <v>18795</v>
      </c>
      <c r="O10" s="64">
        <v>19425</v>
      </c>
      <c r="P10" s="64">
        <f>28693</f>
        <v>28693</v>
      </c>
    </row>
    <row r="11" spans="1:16" x14ac:dyDescent="0.2">
      <c r="A11" s="6" t="s">
        <v>9</v>
      </c>
      <c r="B11" s="7" t="s">
        <v>5</v>
      </c>
      <c r="C11" s="8">
        <v>8201</v>
      </c>
      <c r="D11" s="8">
        <v>6931</v>
      </c>
      <c r="E11" s="8">
        <v>9430</v>
      </c>
      <c r="F11" s="8">
        <v>10611</v>
      </c>
      <c r="G11" s="8">
        <v>7675</v>
      </c>
      <c r="H11" s="8">
        <v>7301</v>
      </c>
      <c r="I11" s="8">
        <v>14823</v>
      </c>
      <c r="J11" s="8">
        <v>6118</v>
      </c>
      <c r="K11" s="8">
        <v>8497</v>
      </c>
      <c r="L11" s="8">
        <v>12601</v>
      </c>
      <c r="M11" s="6">
        <f>PL!L56</f>
        <v>17880</v>
      </c>
      <c r="N11" s="64">
        <v>16484</v>
      </c>
      <c r="O11" s="64">
        <v>18135</v>
      </c>
      <c r="P11" s="64">
        <f>27646</f>
        <v>27646</v>
      </c>
    </row>
    <row r="12" spans="1:16" x14ac:dyDescent="0.2">
      <c r="A12" s="6" t="s">
        <v>10</v>
      </c>
      <c r="B12" s="7" t="s">
        <v>5</v>
      </c>
      <c r="C12" s="8">
        <f>PL!B34</f>
        <v>7440</v>
      </c>
      <c r="D12" s="8">
        <f>PL!C34</f>
        <v>5000</v>
      </c>
      <c r="E12" s="8">
        <f>PL!D34</f>
        <v>6664</v>
      </c>
      <c r="F12" s="8">
        <f>PL!E34</f>
        <v>8369</v>
      </c>
      <c r="G12" s="8">
        <f>PL!F34</f>
        <v>5429</v>
      </c>
      <c r="H12" s="8">
        <f>PL!G34</f>
        <v>4902</v>
      </c>
      <c r="I12" s="8">
        <f>PL!H34</f>
        <v>7893</v>
      </c>
      <c r="J12" s="8">
        <f>PL!I34</f>
        <v>-700</v>
      </c>
      <c r="K12" s="8">
        <f>PL!J34</f>
        <v>186</v>
      </c>
      <c r="L12" s="8">
        <f>PL!K34</f>
        <v>2036</v>
      </c>
      <c r="M12" s="8">
        <f>PL!L34</f>
        <v>3007</v>
      </c>
      <c r="N12" s="8">
        <v>13001</v>
      </c>
      <c r="O12" s="8">
        <v>-3370</v>
      </c>
      <c r="P12" s="8">
        <f>-6914</f>
        <v>-6914</v>
      </c>
    </row>
    <row r="13" spans="1:16" x14ac:dyDescent="0.2">
      <c r="A13" s="9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P13" s="6"/>
    </row>
    <row r="14" spans="1:16" x14ac:dyDescent="0.2">
      <c r="A14" s="5" t="s">
        <v>11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P14" s="6"/>
    </row>
    <row r="15" spans="1:16" x14ac:dyDescent="0.2">
      <c r="A15" s="9" t="s">
        <v>12</v>
      </c>
      <c r="B15" s="7" t="s">
        <v>5</v>
      </c>
      <c r="C15" s="8">
        <v>10406</v>
      </c>
      <c r="D15" s="8">
        <v>16636</v>
      </c>
      <c r="E15" s="8">
        <v>13219</v>
      </c>
      <c r="F15" s="8">
        <v>16291</v>
      </c>
      <c r="G15" s="8">
        <v>19414</v>
      </c>
      <c r="H15" s="8">
        <v>18054</v>
      </c>
      <c r="I15" s="8">
        <v>23987</v>
      </c>
      <c r="J15" s="8">
        <v>20912</v>
      </c>
      <c r="K15" s="8">
        <v>52692</v>
      </c>
      <c r="L15" s="8">
        <v>50505</v>
      </c>
      <c r="M15" s="8">
        <v>83438</v>
      </c>
      <c r="N15" s="8">
        <v>93088</v>
      </c>
      <c r="O15" s="8">
        <v>118611</v>
      </c>
      <c r="P15" s="8">
        <f>176593</f>
        <v>176593</v>
      </c>
    </row>
    <row r="16" spans="1:16" x14ac:dyDescent="0.2">
      <c r="A16" s="9" t="s">
        <v>13</v>
      </c>
      <c r="B16" s="7" t="s">
        <v>5</v>
      </c>
      <c r="C16" s="8">
        <v>10406</v>
      </c>
      <c r="D16" s="8">
        <v>16636</v>
      </c>
      <c r="E16" s="8">
        <v>13219</v>
      </c>
      <c r="F16" s="8">
        <v>16291</v>
      </c>
      <c r="G16" s="8">
        <v>19414</v>
      </c>
      <c r="H16" s="8">
        <v>18054</v>
      </c>
      <c r="I16" s="8">
        <v>23987</v>
      </c>
      <c r="J16" s="8">
        <v>20912</v>
      </c>
      <c r="K16" s="8">
        <v>52692</v>
      </c>
      <c r="L16" s="8">
        <v>45510</v>
      </c>
      <c r="M16" s="8">
        <v>47210</v>
      </c>
      <c r="N16" s="8">
        <v>38326</v>
      </c>
      <c r="O16" s="8">
        <f>O15-O17</f>
        <v>46763</v>
      </c>
      <c r="P16" s="8">
        <f>73467</f>
        <v>73467</v>
      </c>
    </row>
    <row r="17" spans="1:16" x14ac:dyDescent="0.2">
      <c r="A17" s="9" t="s">
        <v>14</v>
      </c>
      <c r="B17" s="7" t="s">
        <v>5</v>
      </c>
      <c r="C17" s="8"/>
      <c r="D17" s="8"/>
      <c r="E17" s="8"/>
      <c r="F17" s="8"/>
      <c r="G17" s="8"/>
      <c r="H17" s="8"/>
      <c r="I17" s="8"/>
      <c r="J17" s="8"/>
      <c r="K17" s="8"/>
      <c r="L17" s="8">
        <v>4995</v>
      </c>
      <c r="M17" s="8">
        <v>36228</v>
      </c>
      <c r="N17" s="8">
        <v>54762</v>
      </c>
      <c r="O17" s="8">
        <v>71848</v>
      </c>
      <c r="P17" s="8">
        <f>103126</f>
        <v>103126</v>
      </c>
    </row>
    <row r="18" spans="1:16" x14ac:dyDescent="0.2">
      <c r="A18" s="9" t="s">
        <v>15</v>
      </c>
      <c r="B18" s="7" t="s">
        <v>5</v>
      </c>
      <c r="C18" s="8">
        <v>15768</v>
      </c>
      <c r="D18" s="8">
        <v>17526</v>
      </c>
      <c r="E18" s="8">
        <v>13037</v>
      </c>
      <c r="F18" s="8">
        <v>15655</v>
      </c>
      <c r="G18" s="8">
        <v>12017</v>
      </c>
      <c r="H18" s="8">
        <v>10206</v>
      </c>
      <c r="I18" s="8">
        <v>14278</v>
      </c>
      <c r="J18" s="8">
        <v>23066</v>
      </c>
      <c r="K18" s="8">
        <v>31128</v>
      </c>
      <c r="L18" s="8">
        <v>25930</v>
      </c>
      <c r="M18" s="8">
        <v>44629</v>
      </c>
      <c r="N18" s="8">
        <v>23811</v>
      </c>
      <c r="O18" s="8">
        <v>9724</v>
      </c>
      <c r="P18" s="8">
        <f>4320</f>
        <v>4320</v>
      </c>
    </row>
    <row r="19" spans="1:16" x14ac:dyDescent="0.2">
      <c r="A19" s="9" t="s">
        <v>16</v>
      </c>
      <c r="B19" s="7" t="s">
        <v>5</v>
      </c>
      <c r="C19" s="8"/>
      <c r="D19" s="8"/>
      <c r="E19" s="8"/>
      <c r="F19" s="8"/>
      <c r="G19" s="8"/>
      <c r="H19" s="8"/>
      <c r="I19" s="8"/>
      <c r="J19" s="8"/>
      <c r="K19" s="8">
        <v>692</v>
      </c>
      <c r="L19" s="8">
        <v>23572</v>
      </c>
      <c r="M19" s="8">
        <v>59752</v>
      </c>
      <c r="N19" s="8">
        <v>60362</v>
      </c>
      <c r="O19" s="8">
        <v>77440</v>
      </c>
      <c r="P19" s="8">
        <f>112289</f>
        <v>112289</v>
      </c>
    </row>
    <row r="20" spans="1:16" x14ac:dyDescent="0.2">
      <c r="A20" s="9" t="s">
        <v>17</v>
      </c>
      <c r="B20" s="7" t="s">
        <v>5</v>
      </c>
      <c r="C20" s="8">
        <v>-5362</v>
      </c>
      <c r="D20" s="8">
        <v>-890</v>
      </c>
      <c r="E20" s="8">
        <v>182</v>
      </c>
      <c r="F20" s="8">
        <v>636</v>
      </c>
      <c r="G20" s="8">
        <v>7397</v>
      </c>
      <c r="H20" s="8">
        <v>7848</v>
      </c>
      <c r="I20" s="8">
        <v>9709</v>
      </c>
      <c r="J20" s="8">
        <v>-2154</v>
      </c>
      <c r="K20" s="8">
        <v>21484</v>
      </c>
      <c r="L20" s="8">
        <v>19580</v>
      </c>
      <c r="M20" s="8">
        <v>2581</v>
      </c>
      <c r="N20" s="8">
        <v>14515</v>
      </c>
      <c r="O20" s="8">
        <v>37039</v>
      </c>
      <c r="P20" s="8">
        <f>69147</f>
        <v>69147</v>
      </c>
    </row>
    <row r="21" spans="1:16" x14ac:dyDescent="0.2">
      <c r="A21" s="9" t="s">
        <v>18</v>
      </c>
      <c r="B21" s="7" t="s">
        <v>19</v>
      </c>
      <c r="C21" s="10">
        <f>C20/C11</f>
        <v>-0.65382270454822577</v>
      </c>
      <c r="D21" s="10">
        <f>D20/D11</f>
        <v>-0.12840859904775645</v>
      </c>
      <c r="E21" s="10">
        <v>0.02</v>
      </c>
      <c r="F21" s="10">
        <v>0.06</v>
      </c>
      <c r="G21" s="10">
        <v>0.96</v>
      </c>
      <c r="H21" s="10">
        <v>1.07</v>
      </c>
      <c r="I21" s="10">
        <v>0.65</v>
      </c>
      <c r="J21" s="12">
        <v>-0.35207584177835888</v>
      </c>
      <c r="K21" s="10">
        <v>1.81</v>
      </c>
      <c r="L21" s="10">
        <v>1.1879626258949161</v>
      </c>
      <c r="M21" s="71">
        <v>0.12209659870381759</v>
      </c>
      <c r="N21" s="71">
        <v>0.77</v>
      </c>
      <c r="O21" s="71">
        <v>1.9067696267696268</v>
      </c>
      <c r="P21" s="71">
        <f>2.41</f>
        <v>2.41</v>
      </c>
    </row>
    <row r="22" spans="1:16" x14ac:dyDescent="0.2">
      <c r="A22" s="9"/>
      <c r="B22" s="7"/>
      <c r="C22" s="10"/>
      <c r="D22" s="10"/>
      <c r="E22" s="10"/>
      <c r="F22" s="10"/>
      <c r="G22" s="10"/>
      <c r="H22" s="10"/>
      <c r="I22" s="10"/>
      <c r="J22" s="12"/>
      <c r="K22" s="10"/>
      <c r="L22" s="208"/>
      <c r="M22" s="208"/>
      <c r="N22" s="208"/>
      <c r="O22" s="208"/>
      <c r="P22" s="208"/>
    </row>
    <row r="23" spans="1:16" x14ac:dyDescent="0.2">
      <c r="A23" s="5" t="s">
        <v>20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6"/>
    </row>
    <row r="24" spans="1:16" x14ac:dyDescent="0.2">
      <c r="A24" s="9" t="s">
        <v>21</v>
      </c>
      <c r="B24" s="7" t="s">
        <v>5</v>
      </c>
      <c r="C24" s="8">
        <v>-2775</v>
      </c>
      <c r="D24" s="8">
        <v>-3027</v>
      </c>
      <c r="E24" s="8">
        <v>678</v>
      </c>
      <c r="F24" s="8">
        <v>2099</v>
      </c>
      <c r="G24" s="8">
        <v>-3297</v>
      </c>
      <c r="H24" s="8">
        <v>4040</v>
      </c>
      <c r="I24" s="8">
        <v>2681</v>
      </c>
      <c r="J24" s="8">
        <v>17403</v>
      </c>
      <c r="K24" s="8">
        <v>13336</v>
      </c>
      <c r="L24" s="8">
        <v>3906</v>
      </c>
      <c r="M24" s="8">
        <v>-17342</v>
      </c>
      <c r="N24" s="8">
        <v>-45552</v>
      </c>
      <c r="O24" s="8">
        <v>-40516</v>
      </c>
      <c r="P24" s="8">
        <f>-79020</f>
        <v>-79020</v>
      </c>
    </row>
    <row r="25" spans="1:16" x14ac:dyDescent="0.2">
      <c r="A25" s="9" t="s">
        <v>22</v>
      </c>
      <c r="B25" s="7" t="s">
        <v>5</v>
      </c>
      <c r="C25" s="8"/>
      <c r="D25" s="8"/>
      <c r="E25" s="8"/>
      <c r="F25" s="8"/>
      <c r="G25" s="8"/>
      <c r="H25" s="8"/>
      <c r="I25" s="8"/>
      <c r="J25" s="8"/>
      <c r="K25" s="8">
        <v>14028</v>
      </c>
      <c r="L25" s="8">
        <v>26786</v>
      </c>
      <c r="M25" s="8">
        <v>18838</v>
      </c>
      <c r="N25" s="8">
        <f>N24+N28+N29</f>
        <v>-17780</v>
      </c>
      <c r="O25" s="8">
        <f>O24+O28+O29</f>
        <v>-5435</v>
      </c>
      <c r="P25" s="8">
        <f>-23793</f>
        <v>-23793</v>
      </c>
    </row>
    <row r="26" spans="1:16" x14ac:dyDescent="0.2">
      <c r="A26" s="9" t="s">
        <v>23</v>
      </c>
      <c r="B26" s="7" t="s">
        <v>5</v>
      </c>
      <c r="C26" s="8">
        <v>-4482</v>
      </c>
      <c r="D26" s="8">
        <v>-4897</v>
      </c>
      <c r="E26" s="8">
        <v>-1462</v>
      </c>
      <c r="F26" s="8">
        <v>-76</v>
      </c>
      <c r="G26" s="8">
        <v>-5994</v>
      </c>
      <c r="H26" s="8">
        <v>819</v>
      </c>
      <c r="I26" s="8">
        <v>243</v>
      </c>
      <c r="J26" s="8">
        <v>14672</v>
      </c>
      <c r="K26" s="8">
        <v>-16624</v>
      </c>
      <c r="L26" s="8">
        <v>-588</v>
      </c>
      <c r="M26" s="8">
        <v>-21623</v>
      </c>
      <c r="N26" s="8">
        <v>-51705</v>
      </c>
      <c r="O26" s="8">
        <v>-57270</v>
      </c>
      <c r="P26" s="8">
        <f>-95015</f>
        <v>-95015</v>
      </c>
    </row>
    <row r="27" spans="1:16" x14ac:dyDescent="0.2">
      <c r="A27" s="9" t="s">
        <v>24</v>
      </c>
      <c r="B27" s="7" t="s">
        <v>5</v>
      </c>
      <c r="C27" s="8"/>
      <c r="D27" s="8"/>
      <c r="E27" s="8"/>
      <c r="F27" s="8"/>
      <c r="G27" s="8"/>
      <c r="H27" s="8"/>
      <c r="I27" s="8"/>
      <c r="J27" s="8"/>
      <c r="K27" s="8">
        <v>-15932</v>
      </c>
      <c r="L27" s="8">
        <v>22292</v>
      </c>
      <c r="M27" s="8">
        <v>14557</v>
      </c>
      <c r="N27" s="8">
        <f>N26+N28+N29</f>
        <v>-23933</v>
      </c>
      <c r="O27" s="8">
        <f>O26+O28+O29</f>
        <v>-22189</v>
      </c>
      <c r="P27" s="8">
        <f>-39788</f>
        <v>-39788</v>
      </c>
    </row>
    <row r="28" spans="1:16" x14ac:dyDescent="0.2">
      <c r="A28" s="9" t="s">
        <v>25</v>
      </c>
      <c r="B28" s="7" t="s">
        <v>5</v>
      </c>
      <c r="C28" s="8"/>
      <c r="D28" s="8"/>
      <c r="E28" s="8"/>
      <c r="F28" s="8"/>
      <c r="G28" s="8"/>
      <c r="H28" s="8"/>
      <c r="I28" s="8"/>
      <c r="J28" s="8"/>
      <c r="K28" s="8">
        <v>692</v>
      </c>
      <c r="L28" s="8">
        <v>22880</v>
      </c>
      <c r="M28" s="8">
        <v>36180</v>
      </c>
      <c r="N28" s="8">
        <v>610</v>
      </c>
      <c r="O28" s="8">
        <v>17078</v>
      </c>
      <c r="P28" s="8">
        <f>34849</f>
        <v>34849</v>
      </c>
    </row>
    <row r="29" spans="1:16" x14ac:dyDescent="0.2">
      <c r="A29" s="9" t="s">
        <v>402</v>
      </c>
      <c r="B29" s="7" t="s">
        <v>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27162</v>
      </c>
      <c r="O29" s="8">
        <v>18003</v>
      </c>
      <c r="P29" s="8">
        <f>20378</f>
        <v>20378</v>
      </c>
    </row>
    <row r="30" spans="1:16" x14ac:dyDescent="0.2">
      <c r="A30" s="9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P30" s="6"/>
    </row>
    <row r="31" spans="1:16" x14ac:dyDescent="0.2">
      <c r="A31" s="5" t="s">
        <v>26</v>
      </c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11"/>
      <c r="P31" s="6"/>
    </row>
    <row r="32" spans="1:16" x14ac:dyDescent="0.2">
      <c r="A32" s="9" t="s">
        <v>27</v>
      </c>
      <c r="B32" s="7" t="s">
        <v>5</v>
      </c>
      <c r="C32" s="8">
        <v>18306</v>
      </c>
      <c r="D32" s="8">
        <v>23739</v>
      </c>
      <c r="E32" s="8">
        <v>30227</v>
      </c>
      <c r="F32" s="8">
        <v>39961.02476</v>
      </c>
      <c r="G32" s="8">
        <v>35079.970713895411</v>
      </c>
      <c r="H32" s="8">
        <v>47444</v>
      </c>
      <c r="I32" s="8">
        <v>50239.967601419994</v>
      </c>
      <c r="J32" s="8">
        <v>68731.252889259995</v>
      </c>
      <c r="K32" s="8">
        <v>77627.406625240008</v>
      </c>
      <c r="L32" s="8">
        <v>79922.186658060004</v>
      </c>
      <c r="M32" s="8">
        <f>'Operating Results'!M7</f>
        <v>84387.993910000005</v>
      </c>
      <c r="N32" s="8">
        <v>58652</v>
      </c>
      <c r="O32" s="8">
        <v>105564</v>
      </c>
      <c r="P32" s="8">
        <f>146241</f>
        <v>146241</v>
      </c>
    </row>
    <row r="33" spans="1:16" x14ac:dyDescent="0.2">
      <c r="A33" s="9" t="s">
        <v>28</v>
      </c>
      <c r="B33" s="7" t="s">
        <v>5</v>
      </c>
      <c r="C33" s="8"/>
      <c r="D33" s="8"/>
      <c r="E33" s="8">
        <v>26073</v>
      </c>
      <c r="F33" s="8">
        <v>35335</v>
      </c>
      <c r="G33" s="8">
        <v>25845</v>
      </c>
      <c r="H33" s="8">
        <v>39723.422637700001</v>
      </c>
      <c r="I33" s="8">
        <v>46146.695167350001</v>
      </c>
      <c r="J33" s="8">
        <v>62785.436452919996</v>
      </c>
      <c r="K33" s="8">
        <v>77713.387916539999</v>
      </c>
      <c r="L33" s="8">
        <v>81985.030014120013</v>
      </c>
      <c r="M33" s="64">
        <f>'Operating Results'!M8</f>
        <v>84093.78253756999</v>
      </c>
      <c r="N33" s="8">
        <v>60386</v>
      </c>
      <c r="O33" s="8">
        <v>82108</v>
      </c>
      <c r="P33" s="8">
        <f>95575</f>
        <v>95575</v>
      </c>
    </row>
    <row r="34" spans="1:16" x14ac:dyDescent="0.2">
      <c r="A34" s="9" t="s">
        <v>29</v>
      </c>
      <c r="B34" s="7" t="s">
        <v>30</v>
      </c>
      <c r="C34" s="8">
        <v>67797</v>
      </c>
      <c r="D34" s="8">
        <v>75013</v>
      </c>
      <c r="E34" s="8">
        <v>84889</v>
      </c>
      <c r="F34" s="8">
        <v>87431</v>
      </c>
      <c r="G34" s="8">
        <v>91057.20360523343</v>
      </c>
      <c r="H34" s="8">
        <v>95649.762108517301</v>
      </c>
      <c r="I34" s="8">
        <v>98094.123288225688</v>
      </c>
      <c r="J34" s="8">
        <v>109445.30457033213</v>
      </c>
      <c r="K34" s="8">
        <v>123140.09552653086</v>
      </c>
      <c r="L34" s="8">
        <v>148500.69067665632</v>
      </c>
      <c r="M34" s="8">
        <f>'Operating Results'!M9</f>
        <v>189008.00940000001</v>
      </c>
      <c r="N34" s="8">
        <v>200591</v>
      </c>
      <c r="O34" s="8">
        <v>192904</v>
      </c>
      <c r="P34" s="8">
        <f>209183</f>
        <v>209183</v>
      </c>
    </row>
    <row r="35" spans="1:16" x14ac:dyDescent="0.2">
      <c r="A35" s="9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P35" s="6"/>
    </row>
    <row r="36" spans="1:16" x14ac:dyDescent="0.2">
      <c r="A36" s="13" t="s">
        <v>31</v>
      </c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6"/>
    </row>
    <row r="37" spans="1:16" x14ac:dyDescent="0.2">
      <c r="A37" s="9" t="s">
        <v>32</v>
      </c>
      <c r="B37" s="7" t="s">
        <v>33</v>
      </c>
      <c r="C37" s="8">
        <v>4192</v>
      </c>
      <c r="D37" s="8">
        <v>5797</v>
      </c>
      <c r="E37" s="8">
        <v>6876</v>
      </c>
      <c r="F37" s="8">
        <v>9045</v>
      </c>
      <c r="G37" s="8">
        <v>7841</v>
      </c>
      <c r="H37" s="8">
        <v>9590</v>
      </c>
      <c r="I37" s="8">
        <v>9916</v>
      </c>
      <c r="J37" s="8">
        <v>12312</v>
      </c>
      <c r="K37" s="8">
        <v>12040</v>
      </c>
      <c r="L37" s="8">
        <v>9725</v>
      </c>
      <c r="M37" s="6">
        <f>'Operating Results'!M12</f>
        <v>8560</v>
      </c>
      <c r="N37" s="64">
        <v>6457</v>
      </c>
      <c r="O37" s="64">
        <v>11689</v>
      </c>
      <c r="P37" s="64">
        <f>14304</f>
        <v>14304</v>
      </c>
    </row>
    <row r="38" spans="1:16" x14ac:dyDescent="0.2">
      <c r="A38" s="9" t="s">
        <v>34</v>
      </c>
      <c r="B38" s="7" t="s">
        <v>33</v>
      </c>
      <c r="C38" s="8"/>
      <c r="D38" s="8">
        <v>794</v>
      </c>
      <c r="E38" s="8">
        <v>1415</v>
      </c>
      <c r="F38" s="8">
        <v>2026</v>
      </c>
      <c r="G38" s="8">
        <v>1184</v>
      </c>
      <c r="H38" s="8">
        <v>2047</v>
      </c>
      <c r="I38" s="8">
        <v>3357</v>
      </c>
      <c r="J38" s="8">
        <v>5027</v>
      </c>
      <c r="K38" s="8">
        <v>4336</v>
      </c>
      <c r="L38" s="8">
        <v>4168</v>
      </c>
      <c r="M38" s="6">
        <f>'Operating Results'!M13</f>
        <v>3499</v>
      </c>
      <c r="N38" s="64">
        <v>2531</v>
      </c>
      <c r="O38" s="64">
        <v>5818</v>
      </c>
      <c r="P38" s="64">
        <f>4229</f>
        <v>4229</v>
      </c>
    </row>
    <row r="39" spans="1:16" x14ac:dyDescent="0.2">
      <c r="A39" s="9" t="s">
        <v>35</v>
      </c>
      <c r="B39" s="7" t="s">
        <v>36</v>
      </c>
      <c r="C39" s="8"/>
      <c r="D39" s="8">
        <v>14</v>
      </c>
      <c r="E39" s="8">
        <v>21</v>
      </c>
      <c r="F39" s="8">
        <v>22</v>
      </c>
      <c r="G39" s="8">
        <v>15</v>
      </c>
      <c r="H39" s="8">
        <v>21</v>
      </c>
      <c r="I39" s="8">
        <v>34</v>
      </c>
      <c r="J39" s="8">
        <v>41</v>
      </c>
      <c r="K39" s="14">
        <v>36</v>
      </c>
      <c r="L39" s="14">
        <v>43</v>
      </c>
      <c r="M39" s="72">
        <f>'Operating Results'!M14</f>
        <v>40.876168224299064</v>
      </c>
      <c r="N39" s="72">
        <v>39</v>
      </c>
      <c r="O39" s="72">
        <v>50</v>
      </c>
      <c r="P39" s="72">
        <f>30</f>
        <v>30</v>
      </c>
    </row>
    <row r="40" spans="1:16" x14ac:dyDescent="0.2">
      <c r="A40" s="9"/>
      <c r="B40" s="7"/>
      <c r="C40" s="8"/>
      <c r="D40" s="8"/>
      <c r="E40" s="8"/>
      <c r="F40" s="8"/>
      <c r="G40" s="8"/>
      <c r="H40" s="8"/>
      <c r="I40" s="8"/>
      <c r="J40" s="8"/>
      <c r="K40" s="14"/>
      <c r="L40" s="14"/>
      <c r="P40" s="6"/>
    </row>
    <row r="41" spans="1:16" x14ac:dyDescent="0.2">
      <c r="A41" s="13" t="s">
        <v>37</v>
      </c>
      <c r="B41" s="7"/>
      <c r="C41" s="11"/>
      <c r="D41" s="11"/>
      <c r="E41" s="11"/>
      <c r="F41" s="11"/>
      <c r="G41" s="11"/>
      <c r="H41" s="11"/>
      <c r="I41" s="11"/>
      <c r="J41" s="11"/>
      <c r="K41" s="11"/>
      <c r="L41" s="11"/>
      <c r="P41" s="6"/>
    </row>
    <row r="42" spans="1:16" x14ac:dyDescent="0.2">
      <c r="A42" s="9" t="s">
        <v>27</v>
      </c>
      <c r="B42" s="7" t="s">
        <v>38</v>
      </c>
      <c r="C42" s="8">
        <v>270012</v>
      </c>
      <c r="D42" s="8">
        <v>316466</v>
      </c>
      <c r="E42" s="8">
        <v>356075</v>
      </c>
      <c r="F42" s="8">
        <v>457055.99999999994</v>
      </c>
      <c r="G42" s="8">
        <v>385252.00999999983</v>
      </c>
      <c r="H42" s="8">
        <v>496008</v>
      </c>
      <c r="I42" s="8">
        <v>512160.82999999996</v>
      </c>
      <c r="J42" s="8">
        <v>627996.36000000057</v>
      </c>
      <c r="K42" s="8">
        <v>630399.10999999975</v>
      </c>
      <c r="L42" s="8">
        <v>538194.04</v>
      </c>
      <c r="M42" s="8">
        <f>'Operating Results'!M17</f>
        <v>446479.84000000008</v>
      </c>
      <c r="N42" s="8">
        <v>292396</v>
      </c>
      <c r="O42" s="8">
        <v>547235</v>
      </c>
      <c r="P42" s="8">
        <f>699107</f>
        <v>699107</v>
      </c>
    </row>
    <row r="43" spans="1:16" x14ac:dyDescent="0.2">
      <c r="A43" s="9" t="s">
        <v>39</v>
      </c>
      <c r="B43" s="7" t="s">
        <v>38</v>
      </c>
      <c r="C43" s="8">
        <v>328435</v>
      </c>
      <c r="D43" s="8">
        <v>363120</v>
      </c>
      <c r="E43" s="8">
        <v>468248</v>
      </c>
      <c r="F43" s="8">
        <v>583483</v>
      </c>
      <c r="G43" s="8">
        <v>502203</v>
      </c>
      <c r="H43" s="8">
        <v>420325</v>
      </c>
      <c r="I43" s="8">
        <v>422946</v>
      </c>
      <c r="J43" s="8">
        <v>479339</v>
      </c>
      <c r="K43" s="8">
        <v>621866.93999999994</v>
      </c>
      <c r="L43" s="8">
        <v>540325.10000000009</v>
      </c>
      <c r="M43" s="8">
        <f>'Operating Results'!M18</f>
        <v>421209.4</v>
      </c>
      <c r="N43" s="8">
        <v>734773</v>
      </c>
      <c r="O43" s="8">
        <v>416726</v>
      </c>
      <c r="P43" s="8">
        <f>161232</f>
        <v>161232</v>
      </c>
    </row>
    <row r="44" spans="1:16" x14ac:dyDescent="0.2">
      <c r="A44" s="9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P44" s="6"/>
    </row>
    <row r="45" spans="1:16" x14ac:dyDescent="0.2">
      <c r="A45" s="13" t="s">
        <v>40</v>
      </c>
      <c r="B45" s="7"/>
      <c r="C45" s="11"/>
      <c r="D45" s="11"/>
      <c r="E45" s="11"/>
      <c r="F45" s="11"/>
      <c r="G45" s="11"/>
      <c r="H45" s="11"/>
      <c r="I45" s="11"/>
      <c r="J45" s="11"/>
      <c r="K45" s="11"/>
      <c r="L45" s="11"/>
      <c r="P45" s="6"/>
    </row>
    <row r="46" spans="1:16" x14ac:dyDescent="0.2">
      <c r="A46" s="9" t="s">
        <v>41</v>
      </c>
      <c r="B46" s="7" t="s">
        <v>5</v>
      </c>
      <c r="C46" s="14">
        <v>55185</v>
      </c>
      <c r="D46" s="14">
        <v>71934</v>
      </c>
      <c r="E46" s="14">
        <v>89252.554799999998</v>
      </c>
      <c r="F46" s="14">
        <v>104286</v>
      </c>
      <c r="G46" s="14">
        <v>104385</v>
      </c>
      <c r="H46" s="14">
        <v>115818.19999999998</v>
      </c>
      <c r="I46" s="14">
        <v>135196.66637727781</v>
      </c>
      <c r="J46" s="14">
        <v>186907.59125065611</v>
      </c>
      <c r="K46" s="14">
        <v>188499.00000200002</v>
      </c>
      <c r="L46" s="14">
        <v>203530.00000100001</v>
      </c>
      <c r="M46" s="14">
        <v>270046.00000100001</v>
      </c>
      <c r="N46" s="14">
        <v>288374</v>
      </c>
      <c r="O46" s="14">
        <v>302526</v>
      </c>
      <c r="P46" s="14">
        <f>304974</f>
        <v>304974</v>
      </c>
    </row>
    <row r="47" spans="1:16" x14ac:dyDescent="0.2">
      <c r="A47" s="9" t="s">
        <v>42</v>
      </c>
      <c r="B47" s="7" t="s">
        <v>5</v>
      </c>
      <c r="C47" s="14">
        <v>55185</v>
      </c>
      <c r="D47" s="14">
        <v>71934</v>
      </c>
      <c r="E47" s="14">
        <v>89252.554799999998</v>
      </c>
      <c r="F47" s="14">
        <v>104286</v>
      </c>
      <c r="G47" s="14">
        <v>104384</v>
      </c>
      <c r="H47" s="14">
        <v>115818.19999999998</v>
      </c>
      <c r="I47" s="14">
        <v>126924.99810065069</v>
      </c>
      <c r="J47" s="14">
        <v>176924.55421948357</v>
      </c>
      <c r="K47" s="14">
        <v>176053.00000200002</v>
      </c>
      <c r="L47" s="14">
        <v>190890.00000100001</v>
      </c>
      <c r="M47" s="14">
        <v>255761.00000100001</v>
      </c>
      <c r="N47" s="14">
        <v>272064</v>
      </c>
      <c r="O47" s="14">
        <v>285984</v>
      </c>
      <c r="P47" s="14">
        <f>284288</f>
        <v>284288</v>
      </c>
    </row>
    <row r="48" spans="1:16" x14ac:dyDescent="0.2">
      <c r="A48" s="15" t="s">
        <v>43</v>
      </c>
      <c r="B48" s="16" t="s">
        <v>44</v>
      </c>
      <c r="C48" s="17">
        <v>3245</v>
      </c>
      <c r="D48" s="17">
        <v>3575</v>
      </c>
      <c r="E48" s="17">
        <v>3442.2999999999997</v>
      </c>
      <c r="F48" s="17">
        <v>3114.3</v>
      </c>
      <c r="G48" s="17">
        <v>2718.8999999999996</v>
      </c>
      <c r="H48" s="17">
        <v>2818.2229412474217</v>
      </c>
      <c r="I48" s="17">
        <v>2818.40783054234</v>
      </c>
      <c r="J48" s="17">
        <v>3357.3835013648318</v>
      </c>
      <c r="K48" s="17">
        <v>3327.5928982373121</v>
      </c>
      <c r="L48" s="17">
        <v>2840.3881505620302</v>
      </c>
      <c r="M48" s="17">
        <f>6002970.75150467/1000</f>
        <v>6002.9707515046703</v>
      </c>
      <c r="N48" s="17">
        <v>6412</v>
      </c>
      <c r="O48" s="17">
        <v>5884</v>
      </c>
      <c r="P48" s="17">
        <f>5485</f>
        <v>5485</v>
      </c>
    </row>
    <row r="49" spans="1:12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2">
      <c r="A50" s="18" t="s">
        <v>45</v>
      </c>
      <c r="B50" s="10"/>
      <c r="C50" s="10"/>
      <c r="D50" s="10"/>
    </row>
    <row r="52" spans="1:12" x14ac:dyDescent="0.2">
      <c r="G52" s="110"/>
    </row>
  </sheetData>
  <hyperlinks>
    <hyperlink ref="A3" location="Contents!A1" display="Back to Contents" xr:uid="{EEB2A708-1D69-4047-9321-D7237D4BD53A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BX51"/>
  <sheetViews>
    <sheetView showGridLines="0" tabSelected="1" topLeftCell="A31" zoomScaleNormal="100" workbookViewId="0">
      <pane xSplit="1" topLeftCell="BC1" activePane="topRight" state="frozen"/>
      <selection pane="topRight" activeCell="AZ23" sqref="AZ23"/>
    </sheetView>
  </sheetViews>
  <sheetFormatPr defaultColWidth="9.140625" defaultRowHeight="14.25" outlineLevelCol="1" x14ac:dyDescent="0.2"/>
  <cols>
    <col min="1" max="1" width="51.85546875" style="41" bestFit="1" customWidth="1"/>
    <col min="2" max="2" width="9.140625" style="6"/>
    <col min="3" max="16" width="9.5703125" style="6" customWidth="1"/>
    <col min="17" max="17" width="9.140625" style="6"/>
    <col min="18" max="63" width="9.140625" style="6" customWidth="1" outlineLevel="1"/>
    <col min="64" max="70" width="9.140625" style="6" outlineLevel="1"/>
    <col min="71" max="76" width="9.140625" style="41" outlineLevel="1"/>
    <col min="77" max="16384" width="9.140625" style="41"/>
  </cols>
  <sheetData>
    <row r="1" spans="1:76" x14ac:dyDescent="0.2">
      <c r="A1" s="68"/>
      <c r="B1" s="7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</row>
    <row r="2" spans="1:76" ht="18" x14ac:dyDescent="0.25">
      <c r="A2" s="54" t="s">
        <v>46</v>
      </c>
      <c r="B2" s="7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spans="1:76" x14ac:dyDescent="0.2">
      <c r="A3" s="2" t="s">
        <v>1</v>
      </c>
      <c r="B3" s="7"/>
      <c r="C3" s="10"/>
      <c r="D3" s="10"/>
      <c r="E3" s="10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4" spans="1:76" x14ac:dyDescent="0.2">
      <c r="A4" s="9"/>
      <c r="B4" s="7"/>
      <c r="C4" s="10"/>
      <c r="D4" s="10"/>
      <c r="E4" s="10"/>
      <c r="F4" s="10"/>
      <c r="G4" s="10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76" x14ac:dyDescent="0.2">
      <c r="A5" s="19"/>
      <c r="B5" s="106" t="s">
        <v>2</v>
      </c>
      <c r="C5" s="107">
        <v>2011</v>
      </c>
      <c r="D5" s="107">
        <v>2012</v>
      </c>
      <c r="E5" s="107">
        <v>2013</v>
      </c>
      <c r="F5" s="107">
        <v>2014</v>
      </c>
      <c r="G5" s="107">
        <v>2015</v>
      </c>
      <c r="H5" s="107">
        <v>2016</v>
      </c>
      <c r="I5" s="107">
        <v>2017</v>
      </c>
      <c r="J5" s="107">
        <v>2018</v>
      </c>
      <c r="K5" s="107">
        <v>2019</v>
      </c>
      <c r="L5" s="107">
        <v>2020</v>
      </c>
      <c r="M5" s="107">
        <v>2021</v>
      </c>
      <c r="N5" s="107">
        <v>2022</v>
      </c>
      <c r="O5" s="107">
        <v>2023</v>
      </c>
      <c r="P5" s="107">
        <v>2024</v>
      </c>
      <c r="Q5" s="108"/>
      <c r="R5" s="109" t="s">
        <v>47</v>
      </c>
      <c r="S5" s="109" t="s">
        <v>48</v>
      </c>
      <c r="T5" s="109" t="s">
        <v>49</v>
      </c>
      <c r="U5" s="109" t="s">
        <v>50</v>
      </c>
      <c r="V5" s="109" t="s">
        <v>51</v>
      </c>
      <c r="W5" s="109" t="s">
        <v>52</v>
      </c>
      <c r="X5" s="109" t="s">
        <v>53</v>
      </c>
      <c r="Y5" s="109" t="s">
        <v>54</v>
      </c>
      <c r="Z5" s="109" t="s">
        <v>55</v>
      </c>
      <c r="AA5" s="109" t="s">
        <v>56</v>
      </c>
      <c r="AB5" s="109" t="s">
        <v>57</v>
      </c>
      <c r="AC5" s="109" t="s">
        <v>58</v>
      </c>
      <c r="AD5" s="109" t="s">
        <v>59</v>
      </c>
      <c r="AE5" s="109" t="s">
        <v>60</v>
      </c>
      <c r="AF5" s="109" t="s">
        <v>61</v>
      </c>
      <c r="AG5" s="109" t="s">
        <v>62</v>
      </c>
      <c r="AH5" s="109" t="s">
        <v>63</v>
      </c>
      <c r="AI5" s="109" t="s">
        <v>64</v>
      </c>
      <c r="AJ5" s="109" t="s">
        <v>65</v>
      </c>
      <c r="AK5" s="109" t="s">
        <v>66</v>
      </c>
      <c r="AL5" s="109" t="s">
        <v>67</v>
      </c>
      <c r="AM5" s="109" t="s">
        <v>68</v>
      </c>
      <c r="AN5" s="109" t="s">
        <v>69</v>
      </c>
      <c r="AO5" s="109" t="s">
        <v>70</v>
      </c>
      <c r="AP5" s="109" t="s">
        <v>71</v>
      </c>
      <c r="AQ5" s="109" t="s">
        <v>72</v>
      </c>
      <c r="AR5" s="109" t="s">
        <v>73</v>
      </c>
      <c r="AS5" s="109" t="s">
        <v>74</v>
      </c>
      <c r="AT5" s="109" t="s">
        <v>75</v>
      </c>
      <c r="AU5" s="109" t="s">
        <v>76</v>
      </c>
      <c r="AV5" s="109" t="s">
        <v>77</v>
      </c>
      <c r="AW5" s="109" t="s">
        <v>78</v>
      </c>
      <c r="AX5" s="109" t="s">
        <v>79</v>
      </c>
      <c r="AY5" s="109" t="s">
        <v>80</v>
      </c>
      <c r="AZ5" s="109" t="s">
        <v>81</v>
      </c>
      <c r="BA5" s="109" t="s">
        <v>82</v>
      </c>
      <c r="BB5" s="109" t="s">
        <v>83</v>
      </c>
      <c r="BC5" s="109" t="s">
        <v>84</v>
      </c>
      <c r="BD5" s="109" t="s">
        <v>85</v>
      </c>
      <c r="BE5" s="109" t="s">
        <v>86</v>
      </c>
      <c r="BF5" s="109" t="s">
        <v>87</v>
      </c>
      <c r="BG5" s="109" t="s">
        <v>88</v>
      </c>
      <c r="BH5" s="109" t="s">
        <v>89</v>
      </c>
      <c r="BI5" s="109" t="s">
        <v>90</v>
      </c>
      <c r="BJ5" s="109" t="s">
        <v>302</v>
      </c>
      <c r="BK5" s="109" t="s">
        <v>303</v>
      </c>
      <c r="BL5" s="109" t="s">
        <v>309</v>
      </c>
      <c r="BM5" s="109" t="s">
        <v>310</v>
      </c>
      <c r="BN5" s="109" t="s">
        <v>398</v>
      </c>
      <c r="BO5" s="109" t="s">
        <v>399</v>
      </c>
      <c r="BP5" s="109" t="s">
        <v>400</v>
      </c>
      <c r="BQ5" s="109" t="s">
        <v>401</v>
      </c>
      <c r="BR5" s="109" t="s">
        <v>423</v>
      </c>
      <c r="BS5" s="109" t="s">
        <v>424</v>
      </c>
      <c r="BT5" s="109" t="s">
        <v>427</v>
      </c>
      <c r="BU5" s="109" t="s">
        <v>428</v>
      </c>
      <c r="BV5" s="109" t="s">
        <v>436</v>
      </c>
      <c r="BW5" s="109" t="s">
        <v>481</v>
      </c>
      <c r="BX5" s="109" t="s">
        <v>485</v>
      </c>
    </row>
    <row r="6" spans="1:76" x14ac:dyDescent="0.2">
      <c r="A6" s="5" t="s">
        <v>26</v>
      </c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9"/>
      <c r="BK6" s="9"/>
      <c r="BL6" s="9"/>
      <c r="BS6" s="6"/>
      <c r="BT6" s="6"/>
      <c r="BU6" s="6"/>
      <c r="BV6" s="6"/>
      <c r="BW6" s="6"/>
      <c r="BX6" s="6"/>
    </row>
    <row r="7" spans="1:76" x14ac:dyDescent="0.2">
      <c r="A7" s="9" t="s">
        <v>27</v>
      </c>
      <c r="B7" s="7" t="s">
        <v>5</v>
      </c>
      <c r="C7" s="21">
        <f>SUM(R7:U7)</f>
        <v>18306</v>
      </c>
      <c r="D7" s="21">
        <f>SUM(V7:Y7)</f>
        <v>23739</v>
      </c>
      <c r="E7" s="21">
        <f>SUM(Z7:AC7)</f>
        <v>30227</v>
      </c>
      <c r="F7" s="21">
        <f>SUM(AD7:AG7)</f>
        <v>39961.02476</v>
      </c>
      <c r="G7" s="21">
        <f>SUM(AH7:AK7)</f>
        <v>35079.970713895411</v>
      </c>
      <c r="H7" s="21">
        <f>SUM(AL7:AO7)</f>
        <v>47444</v>
      </c>
      <c r="I7" s="21">
        <f>SUM(AP7:AS7)</f>
        <v>50239.967601419994</v>
      </c>
      <c r="J7" s="21">
        <f>SUM(AT7:AW7)</f>
        <v>68731.252889259995</v>
      </c>
      <c r="K7" s="21">
        <f>SUM(AX7:BA7)</f>
        <v>77627.406625240008</v>
      </c>
      <c r="L7" s="21">
        <f>SUM(BB7:BE7)</f>
        <v>79922.186658060004</v>
      </c>
      <c r="M7" s="21">
        <f>SUM(BF7:BI7)</f>
        <v>84387.993910000005</v>
      </c>
      <c r="N7" s="21">
        <f>SUM(BJ7:BM7)</f>
        <v>58652</v>
      </c>
      <c r="O7" s="21">
        <f>SUM(BN7:BQ7)</f>
        <v>105563.58845944001</v>
      </c>
      <c r="P7" s="21">
        <f>SUM(BR7:BU7)</f>
        <v>146241</v>
      </c>
      <c r="Q7" s="9"/>
      <c r="R7" s="21">
        <v>4158</v>
      </c>
      <c r="S7" s="21">
        <v>3781</v>
      </c>
      <c r="T7" s="21">
        <v>4336</v>
      </c>
      <c r="U7" s="21">
        <v>6031</v>
      </c>
      <c r="V7" s="21">
        <v>5566</v>
      </c>
      <c r="W7" s="21">
        <v>5195</v>
      </c>
      <c r="X7" s="21">
        <v>5563</v>
      </c>
      <c r="Y7" s="21">
        <v>7415</v>
      </c>
      <c r="Z7" s="21">
        <v>5923</v>
      </c>
      <c r="AA7" s="21">
        <v>6746</v>
      </c>
      <c r="AB7" s="21">
        <v>8152</v>
      </c>
      <c r="AC7" s="21">
        <v>9406</v>
      </c>
      <c r="AD7" s="21">
        <v>9076.8653331200003</v>
      </c>
      <c r="AE7" s="21">
        <v>8095.1199196799998</v>
      </c>
      <c r="AF7" s="21">
        <v>9480.1498460799994</v>
      </c>
      <c r="AG7" s="21">
        <v>13308.88966112</v>
      </c>
      <c r="AH7" s="21">
        <v>3803.6569252554141</v>
      </c>
      <c r="AI7" s="21">
        <v>4109.9257364599998</v>
      </c>
      <c r="AJ7" s="21">
        <v>11392.218554999999</v>
      </c>
      <c r="AK7" s="21">
        <v>15774.169497179999</v>
      </c>
      <c r="AL7" s="21">
        <v>12860</v>
      </c>
      <c r="AM7" s="21">
        <v>10284</v>
      </c>
      <c r="AN7" s="21">
        <v>10575</v>
      </c>
      <c r="AO7" s="21">
        <v>13725</v>
      </c>
      <c r="AP7" s="21">
        <v>10248.314041999998</v>
      </c>
      <c r="AQ7" s="21">
        <v>11346.0364044</v>
      </c>
      <c r="AR7" s="21">
        <v>11969.5977286</v>
      </c>
      <c r="AS7" s="21">
        <v>16676.01942642</v>
      </c>
      <c r="AT7" s="21">
        <v>13605.154832299999</v>
      </c>
      <c r="AU7" s="21">
        <v>13881.61159593</v>
      </c>
      <c r="AV7" s="21">
        <v>16798.903380110001</v>
      </c>
      <c r="AW7" s="21">
        <v>24445.583080919998</v>
      </c>
      <c r="AX7" s="21">
        <v>19952.326535439999</v>
      </c>
      <c r="AY7" s="21">
        <v>18782.154632410005</v>
      </c>
      <c r="AZ7" s="21">
        <v>17098.350112380002</v>
      </c>
      <c r="BA7" s="21">
        <v>21794.575345010002</v>
      </c>
      <c r="BB7" s="21">
        <v>17936.319566999999</v>
      </c>
      <c r="BC7" s="21">
        <v>11585.362794000001</v>
      </c>
      <c r="BD7" s="21">
        <v>23982.568796</v>
      </c>
      <c r="BE7" s="21">
        <v>26417.935501060001</v>
      </c>
      <c r="BF7" s="20">
        <v>16214.395377000001</v>
      </c>
      <c r="BG7" s="20">
        <v>24932.598533</v>
      </c>
      <c r="BH7" s="20">
        <v>18390</v>
      </c>
      <c r="BI7" s="20">
        <v>24851</v>
      </c>
      <c r="BJ7" s="20">
        <v>19681</v>
      </c>
      <c r="BK7" s="20">
        <v>9638</v>
      </c>
      <c r="BL7" s="20">
        <v>13329</v>
      </c>
      <c r="BM7" s="20">
        <v>16004</v>
      </c>
      <c r="BN7" s="20">
        <v>13436.384795000002</v>
      </c>
      <c r="BO7" s="20">
        <v>20566.103885999997</v>
      </c>
      <c r="BP7" s="20">
        <v>31169.099778440002</v>
      </c>
      <c r="BQ7" s="65">
        <v>40392</v>
      </c>
      <c r="BR7" s="65">
        <v>40965</v>
      </c>
      <c r="BS7" s="65">
        <v>37627</v>
      </c>
      <c r="BT7" s="65">
        <f>36948</f>
        <v>36948</v>
      </c>
      <c r="BU7" s="65">
        <f>30701</f>
        <v>30701</v>
      </c>
      <c r="BV7" s="65">
        <f>37377</f>
        <v>37377</v>
      </c>
      <c r="BW7" s="65">
        <f>24824</f>
        <v>24824</v>
      </c>
      <c r="BX7" s="65">
        <v>46855</v>
      </c>
    </row>
    <row r="8" spans="1:76" x14ac:dyDescent="0.2">
      <c r="A8" s="9" t="s">
        <v>28</v>
      </c>
      <c r="B8" s="7" t="s">
        <v>5</v>
      </c>
      <c r="C8" s="21"/>
      <c r="D8" s="21"/>
      <c r="E8" s="21">
        <f>SUM(Z8:AC8)</f>
        <v>26073</v>
      </c>
      <c r="F8" s="21">
        <f>SUM(AD8:AG8)</f>
        <v>35335</v>
      </c>
      <c r="G8" s="21">
        <f>SUM(AH8:AK8)</f>
        <v>25845</v>
      </c>
      <c r="H8" s="21">
        <f>SUM(AL8:AO8)</f>
        <v>39723.422637700001</v>
      </c>
      <c r="I8" s="21">
        <f>SUM(AP8:AS8)</f>
        <v>46146.695167350001</v>
      </c>
      <c r="J8" s="21">
        <f>SUM(AT8:AW8)</f>
        <v>62785.436452919996</v>
      </c>
      <c r="K8" s="21">
        <f>SUM(AX8:BA8)</f>
        <v>77713.387916539999</v>
      </c>
      <c r="L8" s="21">
        <f>SUM(BB8:BE8)</f>
        <v>81985.030014120013</v>
      </c>
      <c r="M8" s="21">
        <f>SUM(BF8:BI8)</f>
        <v>84093.78253756999</v>
      </c>
      <c r="N8" s="21">
        <f t="shared" ref="N8:N18" si="0">SUM(BJ8:BM8)</f>
        <v>60386</v>
      </c>
      <c r="O8" s="21">
        <f>SUM(BN8:BQ8)</f>
        <v>82107.948539289995</v>
      </c>
      <c r="P8" s="21">
        <v>95575</v>
      </c>
      <c r="Q8" s="9"/>
      <c r="R8" s="21"/>
      <c r="S8" s="21"/>
      <c r="T8" s="21"/>
      <c r="U8" s="21"/>
      <c r="V8" s="21"/>
      <c r="W8" s="21"/>
      <c r="X8" s="21"/>
      <c r="Y8" s="21"/>
      <c r="Z8" s="21">
        <v>5237</v>
      </c>
      <c r="AA8" s="21">
        <v>5703</v>
      </c>
      <c r="AB8" s="21">
        <v>6769</v>
      </c>
      <c r="AC8" s="21">
        <v>8364</v>
      </c>
      <c r="AD8" s="21">
        <v>9088</v>
      </c>
      <c r="AE8" s="21">
        <v>5747</v>
      </c>
      <c r="AF8" s="21">
        <v>9012</v>
      </c>
      <c r="AG8" s="21">
        <v>11488</v>
      </c>
      <c r="AH8" s="21">
        <v>6003</v>
      </c>
      <c r="AI8" s="21">
        <v>4412</v>
      </c>
      <c r="AJ8" s="21">
        <v>5798</v>
      </c>
      <c r="AK8" s="21">
        <v>9632</v>
      </c>
      <c r="AL8" s="21">
        <v>10570.772917070002</v>
      </c>
      <c r="AM8" s="21">
        <v>9286</v>
      </c>
      <c r="AN8" s="21">
        <v>8743.8683072799995</v>
      </c>
      <c r="AO8" s="21">
        <v>11122.78141335</v>
      </c>
      <c r="AP8" s="21">
        <v>9714.1392184200031</v>
      </c>
      <c r="AQ8" s="21">
        <v>9282.8890235700001</v>
      </c>
      <c r="AR8" s="21">
        <v>12432.99312372</v>
      </c>
      <c r="AS8" s="21">
        <v>14716.673801640001</v>
      </c>
      <c r="AT8" s="21">
        <v>12777.758215059999</v>
      </c>
      <c r="AU8" s="21">
        <v>14693.6143854</v>
      </c>
      <c r="AV8" s="21">
        <v>15010.584524129999</v>
      </c>
      <c r="AW8" s="21">
        <v>20303.479328329999</v>
      </c>
      <c r="AX8" s="21">
        <v>23631.847321820002</v>
      </c>
      <c r="AY8" s="21">
        <v>19176.827587320004</v>
      </c>
      <c r="AZ8" s="21">
        <v>16114.074190339999</v>
      </c>
      <c r="BA8" s="21">
        <v>18790.638817060004</v>
      </c>
      <c r="BB8" s="21">
        <v>17604.427967750002</v>
      </c>
      <c r="BC8" s="21">
        <v>13942.190508559999</v>
      </c>
      <c r="BD8" s="21">
        <v>21235.062525180001</v>
      </c>
      <c r="BE8" s="21">
        <v>29203.349012630002</v>
      </c>
      <c r="BF8" s="20">
        <v>18036.233013270001</v>
      </c>
      <c r="BG8" s="20">
        <v>22852.549524299997</v>
      </c>
      <c r="BH8" s="20">
        <v>19308</v>
      </c>
      <c r="BI8" s="20">
        <v>23897</v>
      </c>
      <c r="BJ8" s="20">
        <v>21235</v>
      </c>
      <c r="BK8" s="20">
        <v>11402</v>
      </c>
      <c r="BL8" s="20">
        <v>11170</v>
      </c>
      <c r="BM8" s="20">
        <v>16579</v>
      </c>
      <c r="BN8" s="20">
        <v>12000.56727009</v>
      </c>
      <c r="BO8" s="20">
        <v>16208.977656510002</v>
      </c>
      <c r="BP8" s="20">
        <v>24684.403612690003</v>
      </c>
      <c r="BQ8" s="65">
        <v>29214</v>
      </c>
      <c r="BR8" s="65">
        <f>21587</f>
        <v>21587</v>
      </c>
      <c r="BS8" s="65">
        <f>27201</f>
        <v>27201</v>
      </c>
      <c r="BT8" s="65">
        <f>24560</f>
        <v>24560</v>
      </c>
      <c r="BU8" s="65">
        <f>22226</f>
        <v>22226</v>
      </c>
      <c r="BV8" s="65">
        <f>18096</f>
        <v>18096</v>
      </c>
      <c r="BW8" s="65">
        <f>21530</f>
        <v>21530</v>
      </c>
      <c r="BX8" s="65">
        <f>20125</f>
        <v>20125</v>
      </c>
    </row>
    <row r="9" spans="1:76" x14ac:dyDescent="0.2">
      <c r="A9" s="9" t="s">
        <v>29</v>
      </c>
      <c r="B9" s="7" t="s">
        <v>30</v>
      </c>
      <c r="C9" s="21">
        <v>67797</v>
      </c>
      <c r="D9" s="21">
        <v>75013</v>
      </c>
      <c r="E9" s="21">
        <v>84889</v>
      </c>
      <c r="F9" s="21">
        <v>87431</v>
      </c>
      <c r="G9" s="21">
        <v>91057.20360523343</v>
      </c>
      <c r="H9" s="21">
        <v>95649.762108517301</v>
      </c>
      <c r="I9" s="21">
        <v>98094.123288225688</v>
      </c>
      <c r="J9" s="21">
        <v>109445.30457033213</v>
      </c>
      <c r="K9" s="21">
        <v>123140.09552653086</v>
      </c>
      <c r="L9" s="21">
        <v>148500.69067665632</v>
      </c>
      <c r="M9" s="21">
        <v>189008.00940000001</v>
      </c>
      <c r="N9" s="21">
        <v>198413</v>
      </c>
      <c r="O9" s="21">
        <v>192904</v>
      </c>
      <c r="P9" s="21">
        <f>209183</f>
        <v>209183</v>
      </c>
      <c r="Q9" s="9"/>
      <c r="R9" s="21">
        <v>69721</v>
      </c>
      <c r="S9" s="21">
        <v>60453</v>
      </c>
      <c r="T9" s="21">
        <v>68030</v>
      </c>
      <c r="U9" s="21">
        <v>71718</v>
      </c>
      <c r="V9" s="21">
        <v>71611</v>
      </c>
      <c r="W9" s="21">
        <v>75120</v>
      </c>
      <c r="X9" s="21">
        <v>74073</v>
      </c>
      <c r="Y9" s="21">
        <v>78484</v>
      </c>
      <c r="Z9" s="21">
        <v>80606</v>
      </c>
      <c r="AA9" s="21">
        <v>81102</v>
      </c>
      <c r="AB9" s="21">
        <v>87800</v>
      </c>
      <c r="AC9" s="21">
        <v>85667</v>
      </c>
      <c r="AD9" s="21">
        <v>83228.279413133379</v>
      </c>
      <c r="AE9" s="21">
        <v>85288.692095209277</v>
      </c>
      <c r="AF9" s="21">
        <v>89402.153728722871</v>
      </c>
      <c r="AG9" s="21">
        <v>90510.557914723904</v>
      </c>
      <c r="AH9" s="21">
        <v>80946.282812226491</v>
      </c>
      <c r="AI9" s="21">
        <v>97918.322170442902</v>
      </c>
      <c r="AJ9" s="21">
        <v>93746.002211283601</v>
      </c>
      <c r="AK9" s="21">
        <v>90258.314857375255</v>
      </c>
      <c r="AL9" s="21">
        <v>95254</v>
      </c>
      <c r="AM9" s="21">
        <v>102223</v>
      </c>
      <c r="AN9" s="21">
        <v>99144</v>
      </c>
      <c r="AO9" s="21">
        <v>89272</v>
      </c>
      <c r="AP9" s="21">
        <v>90177.794240254676</v>
      </c>
      <c r="AQ9" s="21">
        <v>92675.773665021043</v>
      </c>
      <c r="AR9" s="21">
        <v>105015.44777916004</v>
      </c>
      <c r="AS9" s="21">
        <v>102869.44993975338</v>
      </c>
      <c r="AT9" s="21">
        <v>101473.95361667546</v>
      </c>
      <c r="AU9" s="21">
        <v>108055.02285767831</v>
      </c>
      <c r="AV9" s="21">
        <v>109015.40579162672</v>
      </c>
      <c r="AW9" s="21">
        <v>115660.46550332049</v>
      </c>
      <c r="AX9" s="21">
        <v>118796.12844466366</v>
      </c>
      <c r="AY9" s="21">
        <v>121758.63498952119</v>
      </c>
      <c r="AZ9" s="21">
        <v>125118.06952713689</v>
      </c>
      <c r="BA9" s="21">
        <v>127060.01614186288</v>
      </c>
      <c r="BB9" s="21">
        <v>142384.42321047024</v>
      </c>
      <c r="BC9" s="21">
        <v>121971.44740463202</v>
      </c>
      <c r="BD9" s="21">
        <v>159404.83358335987</v>
      </c>
      <c r="BE9" s="21">
        <v>158392.26542298836</v>
      </c>
      <c r="BF9" s="20">
        <v>164329.03697465188</v>
      </c>
      <c r="BG9" s="20">
        <v>203915.04321517842</v>
      </c>
      <c r="BH9" s="20">
        <v>190633</v>
      </c>
      <c r="BI9" s="20">
        <v>192538</v>
      </c>
      <c r="BJ9" s="20">
        <v>217611</v>
      </c>
      <c r="BK9" s="20">
        <v>181732</v>
      </c>
      <c r="BL9" s="20">
        <v>198985</v>
      </c>
      <c r="BM9" s="20">
        <v>195324</v>
      </c>
      <c r="BN9" s="20">
        <v>182478.08071313796</v>
      </c>
      <c r="BO9" s="20">
        <v>185870.63073595663</v>
      </c>
      <c r="BP9" s="20">
        <v>199371.19042391944</v>
      </c>
      <c r="BQ9" s="65">
        <v>195493</v>
      </c>
      <c r="BR9" s="65">
        <v>216512</v>
      </c>
      <c r="BS9" s="65">
        <v>192020.80584774294</v>
      </c>
      <c r="BT9" s="65">
        <f>234799</f>
        <v>234799</v>
      </c>
      <c r="BU9" s="65">
        <f>195000</f>
        <v>195000</v>
      </c>
      <c r="BV9" s="65">
        <f>194595</f>
        <v>194595</v>
      </c>
      <c r="BW9" s="65">
        <f>239432</f>
        <v>239432</v>
      </c>
      <c r="BX9" s="65">
        <f>267395</f>
        <v>267395</v>
      </c>
    </row>
    <row r="10" spans="1:76" x14ac:dyDescent="0.2">
      <c r="A10" s="22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9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0"/>
      <c r="BG10" s="20"/>
      <c r="BH10" s="20"/>
      <c r="BI10" s="20"/>
      <c r="BJ10" s="9"/>
      <c r="BK10" s="9"/>
      <c r="BL10" s="9"/>
      <c r="BM10" s="9"/>
      <c r="BN10" s="9"/>
      <c r="BO10" s="9"/>
      <c r="BP10" s="9"/>
      <c r="BS10" s="6"/>
      <c r="BT10" s="6"/>
      <c r="BU10" s="65"/>
      <c r="BV10" s="65"/>
      <c r="BW10" s="65"/>
      <c r="BX10" s="65"/>
    </row>
    <row r="11" spans="1:76" x14ac:dyDescent="0.2">
      <c r="A11" s="5" t="s">
        <v>31</v>
      </c>
      <c r="B11" s="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9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0"/>
      <c r="BG11" s="20"/>
      <c r="BH11" s="20"/>
      <c r="BI11" s="20"/>
      <c r="BJ11" s="9"/>
      <c r="BK11" s="9"/>
      <c r="BL11" s="9"/>
      <c r="BM11" s="9"/>
      <c r="BN11" s="9"/>
      <c r="BO11" s="9"/>
      <c r="BP11" s="9"/>
      <c r="BS11" s="6"/>
      <c r="BT11" s="6"/>
      <c r="BU11" s="65"/>
      <c r="BV11" s="65"/>
      <c r="BW11" s="65"/>
      <c r="BX11" s="65"/>
    </row>
    <row r="12" spans="1:76" x14ac:dyDescent="0.2">
      <c r="A12" s="9" t="s">
        <v>32</v>
      </c>
      <c r="B12" s="7" t="s">
        <v>33</v>
      </c>
      <c r="C12" s="21">
        <v>4192</v>
      </c>
      <c r="D12" s="21">
        <f>SUM(V12:Y12)</f>
        <v>5797</v>
      </c>
      <c r="E12" s="21">
        <f>SUM(Z12:AC12)</f>
        <v>6876</v>
      </c>
      <c r="F12" s="21">
        <f>SUM(AD12:AG12)</f>
        <v>9045</v>
      </c>
      <c r="G12" s="21">
        <f>SUM(AH12:AK12)</f>
        <v>7841</v>
      </c>
      <c r="H12" s="21">
        <f>SUM(AL12:AO12)</f>
        <v>9590</v>
      </c>
      <c r="I12" s="21">
        <f>SUM(AP12:AS12)</f>
        <v>9916</v>
      </c>
      <c r="J12" s="21">
        <f>SUM(AT12:AW12)</f>
        <v>12312</v>
      </c>
      <c r="K12" s="21">
        <f>SUM(AX12:BA12)</f>
        <v>12040</v>
      </c>
      <c r="L12" s="21">
        <f>SUM(BB12:BE12)</f>
        <v>9725</v>
      </c>
      <c r="M12" s="21">
        <f>SUM(BF12:BI12)</f>
        <v>8560</v>
      </c>
      <c r="N12" s="21">
        <f t="shared" si="0"/>
        <v>6457</v>
      </c>
      <c r="O12" s="21">
        <f>SUM(BN12:BQ12)</f>
        <v>11689</v>
      </c>
      <c r="P12" s="21">
        <f>SUM(BR12:BU12)</f>
        <v>14304</v>
      </c>
      <c r="Q12" s="9"/>
      <c r="R12" s="21"/>
      <c r="S12" s="21"/>
      <c r="T12" s="21"/>
      <c r="U12" s="21"/>
      <c r="V12" s="21">
        <v>1338</v>
      </c>
      <c r="W12" s="21">
        <v>1235</v>
      </c>
      <c r="X12" s="21">
        <v>1390</v>
      </c>
      <c r="Y12" s="21">
        <v>1834</v>
      </c>
      <c r="Z12" s="21">
        <v>1454</v>
      </c>
      <c r="AA12" s="21">
        <v>1548</v>
      </c>
      <c r="AB12" s="21">
        <v>1752</v>
      </c>
      <c r="AC12" s="21">
        <v>2122</v>
      </c>
      <c r="AD12" s="21">
        <v>2300</v>
      </c>
      <c r="AE12" s="21">
        <v>2033</v>
      </c>
      <c r="AF12" s="21">
        <v>1960</v>
      </c>
      <c r="AG12" s="21">
        <v>2752</v>
      </c>
      <c r="AH12" s="21">
        <v>1028</v>
      </c>
      <c r="AI12" s="21">
        <v>831</v>
      </c>
      <c r="AJ12" s="21">
        <v>2525</v>
      </c>
      <c r="AK12" s="21">
        <v>3457</v>
      </c>
      <c r="AL12" s="21">
        <v>2634</v>
      </c>
      <c r="AM12" s="21">
        <v>1886</v>
      </c>
      <c r="AN12" s="21">
        <v>2069</v>
      </c>
      <c r="AO12" s="21">
        <v>3001</v>
      </c>
      <c r="AP12" s="21">
        <v>2082</v>
      </c>
      <c r="AQ12" s="21">
        <v>2321</v>
      </c>
      <c r="AR12" s="21">
        <v>2331</v>
      </c>
      <c r="AS12" s="21">
        <v>3182</v>
      </c>
      <c r="AT12" s="21">
        <v>2573</v>
      </c>
      <c r="AU12" s="21">
        <v>2532</v>
      </c>
      <c r="AV12" s="21">
        <v>2962</v>
      </c>
      <c r="AW12" s="21">
        <v>4245</v>
      </c>
      <c r="AX12" s="21">
        <v>3470</v>
      </c>
      <c r="AY12" s="21">
        <v>3060</v>
      </c>
      <c r="AZ12" s="21">
        <v>2579</v>
      </c>
      <c r="BA12" s="21">
        <v>2931</v>
      </c>
      <c r="BB12" s="21">
        <v>2323</v>
      </c>
      <c r="BC12" s="21">
        <v>1559</v>
      </c>
      <c r="BD12" s="21">
        <v>2706</v>
      </c>
      <c r="BE12" s="21">
        <v>3137</v>
      </c>
      <c r="BF12" s="20">
        <v>1989</v>
      </c>
      <c r="BG12" s="20">
        <v>2297</v>
      </c>
      <c r="BH12" s="20">
        <v>1869</v>
      </c>
      <c r="BI12" s="20">
        <v>2405</v>
      </c>
      <c r="BJ12" s="20">
        <v>1899</v>
      </c>
      <c r="BK12" s="20">
        <v>1216</v>
      </c>
      <c r="BL12" s="20">
        <v>1572</v>
      </c>
      <c r="BM12" s="20">
        <v>1770</v>
      </c>
      <c r="BN12" s="20">
        <v>1555</v>
      </c>
      <c r="BO12" s="20">
        <v>2265</v>
      </c>
      <c r="BP12" s="20">
        <v>3343</v>
      </c>
      <c r="BQ12" s="65">
        <v>4526</v>
      </c>
      <c r="BR12" s="65">
        <v>3816</v>
      </c>
      <c r="BS12" s="65">
        <v>3643</v>
      </c>
      <c r="BT12" s="65">
        <f>3368</f>
        <v>3368</v>
      </c>
      <c r="BU12" s="65">
        <f>3477</f>
        <v>3477</v>
      </c>
      <c r="BV12" s="65">
        <f>4075</f>
        <v>4075</v>
      </c>
      <c r="BW12" s="65">
        <f>2479</f>
        <v>2479</v>
      </c>
      <c r="BX12" s="65">
        <f>2772</f>
        <v>2772</v>
      </c>
    </row>
    <row r="13" spans="1:76" x14ac:dyDescent="0.2">
      <c r="A13" s="9" t="s">
        <v>34</v>
      </c>
      <c r="B13" s="7"/>
      <c r="C13" s="21"/>
      <c r="D13" s="21">
        <f>SUM(V13:Y13)</f>
        <v>794</v>
      </c>
      <c r="E13" s="21">
        <f>SUM(Z13:AC13)</f>
        <v>1415</v>
      </c>
      <c r="F13" s="21">
        <f>SUM(AD13:AG13)</f>
        <v>2026</v>
      </c>
      <c r="G13" s="21">
        <f>SUM(AH13:AK13)</f>
        <v>1184</v>
      </c>
      <c r="H13" s="21">
        <f>SUM(AL13:AO13)</f>
        <v>2047</v>
      </c>
      <c r="I13" s="21">
        <f>SUM(AP13:AS13)</f>
        <v>3357</v>
      </c>
      <c r="J13" s="21">
        <f>SUM(AT13:AW13)</f>
        <v>5027</v>
      </c>
      <c r="K13" s="21">
        <f>SUM(AX13:BA13)</f>
        <v>4336</v>
      </c>
      <c r="L13" s="21">
        <f>SUM(BB13:BE13)</f>
        <v>4168</v>
      </c>
      <c r="M13" s="21">
        <f>SUM(BF13:BI13)</f>
        <v>3499</v>
      </c>
      <c r="N13" s="21">
        <f t="shared" si="0"/>
        <v>2531</v>
      </c>
      <c r="O13" s="21">
        <f>SUM(BN13:BQ13)</f>
        <v>5818</v>
      </c>
      <c r="P13" s="21">
        <f>SUM(BR13:BU13)</f>
        <v>4229</v>
      </c>
      <c r="Q13" s="9"/>
      <c r="R13" s="110"/>
      <c r="S13" s="110"/>
      <c r="T13" s="110"/>
      <c r="U13" s="110"/>
      <c r="V13" s="110">
        <v>140</v>
      </c>
      <c r="W13" s="110">
        <v>137</v>
      </c>
      <c r="X13" s="110">
        <v>188</v>
      </c>
      <c r="Y13" s="110">
        <v>329</v>
      </c>
      <c r="Z13" s="110">
        <v>255</v>
      </c>
      <c r="AA13" s="110">
        <v>362</v>
      </c>
      <c r="AB13" s="110">
        <v>368</v>
      </c>
      <c r="AC13" s="110">
        <v>430</v>
      </c>
      <c r="AD13" s="110">
        <v>396</v>
      </c>
      <c r="AE13" s="110">
        <v>464</v>
      </c>
      <c r="AF13" s="110">
        <v>542</v>
      </c>
      <c r="AG13" s="110">
        <v>624</v>
      </c>
      <c r="AH13" s="110">
        <v>115</v>
      </c>
      <c r="AI13" s="110">
        <v>167</v>
      </c>
      <c r="AJ13" s="110">
        <v>376</v>
      </c>
      <c r="AK13" s="110">
        <v>526</v>
      </c>
      <c r="AL13" s="110">
        <v>519</v>
      </c>
      <c r="AM13" s="110">
        <v>391</v>
      </c>
      <c r="AN13" s="110">
        <v>449</v>
      </c>
      <c r="AO13" s="110">
        <v>688</v>
      </c>
      <c r="AP13" s="110">
        <v>466</v>
      </c>
      <c r="AQ13" s="110">
        <v>771</v>
      </c>
      <c r="AR13" s="110">
        <v>817</v>
      </c>
      <c r="AS13" s="110">
        <v>1303</v>
      </c>
      <c r="AT13" s="110">
        <v>1018</v>
      </c>
      <c r="AU13" s="110">
        <v>1052</v>
      </c>
      <c r="AV13" s="110">
        <v>1203</v>
      </c>
      <c r="AW13" s="110">
        <v>1754</v>
      </c>
      <c r="AX13" s="110">
        <v>1281</v>
      </c>
      <c r="AY13" s="110">
        <v>1094</v>
      </c>
      <c r="AZ13" s="110">
        <v>930</v>
      </c>
      <c r="BA13" s="110">
        <v>1031</v>
      </c>
      <c r="BB13" s="110">
        <v>830</v>
      </c>
      <c r="BC13" s="110">
        <v>686</v>
      </c>
      <c r="BD13" s="110">
        <v>1260</v>
      </c>
      <c r="BE13" s="110">
        <v>1392</v>
      </c>
      <c r="BF13" s="110">
        <v>730</v>
      </c>
      <c r="BG13" s="20">
        <v>1077</v>
      </c>
      <c r="BH13" s="20">
        <v>734</v>
      </c>
      <c r="BI13" s="20">
        <v>958</v>
      </c>
      <c r="BJ13" s="20">
        <v>622</v>
      </c>
      <c r="BK13" s="20">
        <v>299</v>
      </c>
      <c r="BL13" s="20">
        <v>580</v>
      </c>
      <c r="BM13" s="20">
        <v>1030</v>
      </c>
      <c r="BN13" s="20">
        <v>733</v>
      </c>
      <c r="BO13" s="20">
        <v>1134</v>
      </c>
      <c r="BP13" s="20">
        <v>1638</v>
      </c>
      <c r="BQ13" s="65">
        <v>2313</v>
      </c>
      <c r="BR13" s="65">
        <v>939</v>
      </c>
      <c r="BS13" s="65">
        <v>1637</v>
      </c>
      <c r="BT13" s="65">
        <f>992</f>
        <v>992</v>
      </c>
      <c r="BU13" s="65">
        <f>661</f>
        <v>661</v>
      </c>
      <c r="BV13" s="65">
        <f>582</f>
        <v>582</v>
      </c>
      <c r="BW13" s="65">
        <f>782</f>
        <v>782</v>
      </c>
      <c r="BX13" s="65">
        <f>609</f>
        <v>609</v>
      </c>
    </row>
    <row r="14" spans="1:76" x14ac:dyDescent="0.2">
      <c r="A14" s="9" t="s">
        <v>35</v>
      </c>
      <c r="B14" s="111" t="s">
        <v>36</v>
      </c>
      <c r="C14" s="21"/>
      <c r="D14" s="21">
        <f>D13/D12*100</f>
        <v>13.696739692944625</v>
      </c>
      <c r="E14" s="21">
        <f t="shared" ref="E14:L14" si="1">E13/E12*100</f>
        <v>20.578824898196626</v>
      </c>
      <c r="F14" s="21">
        <f t="shared" si="1"/>
        <v>22.39911553344389</v>
      </c>
      <c r="G14" s="21">
        <f t="shared" si="1"/>
        <v>15.100114781277899</v>
      </c>
      <c r="H14" s="21">
        <f t="shared" si="1"/>
        <v>21.345151199165798</v>
      </c>
      <c r="I14" s="21">
        <f t="shared" si="1"/>
        <v>33.854376764824529</v>
      </c>
      <c r="J14" s="21">
        <f t="shared" si="1"/>
        <v>40.830084470435345</v>
      </c>
      <c r="K14" s="21">
        <f t="shared" si="1"/>
        <v>36.013289036544847</v>
      </c>
      <c r="L14" s="21">
        <f t="shared" si="1"/>
        <v>42.858611825192803</v>
      </c>
      <c r="M14" s="21">
        <f>M13/M12*100</f>
        <v>40.876168224299064</v>
      </c>
      <c r="N14" s="21">
        <f>N13/N12*100</f>
        <v>39.197769862165096</v>
      </c>
      <c r="O14" s="21">
        <f>O13/O12*100</f>
        <v>49.77329112841133</v>
      </c>
      <c r="P14" s="21">
        <f>P13/P12*100</f>
        <v>29.565156599552573</v>
      </c>
      <c r="Q14" s="9"/>
      <c r="R14" s="110">
        <v>6</v>
      </c>
      <c r="S14" s="110">
        <v>11</v>
      </c>
      <c r="T14" s="110">
        <v>7.0000000000000009</v>
      </c>
      <c r="U14" s="110">
        <v>16</v>
      </c>
      <c r="V14" s="110">
        <v>10</v>
      </c>
      <c r="W14" s="110">
        <v>10</v>
      </c>
      <c r="X14" s="110">
        <v>13</v>
      </c>
      <c r="Y14" s="110">
        <v>18</v>
      </c>
      <c r="Z14" s="110">
        <v>18</v>
      </c>
      <c r="AA14" s="110">
        <v>24</v>
      </c>
      <c r="AB14" s="110">
        <v>21</v>
      </c>
      <c r="AC14" s="110">
        <v>20</v>
      </c>
      <c r="AD14" s="110">
        <v>17</v>
      </c>
      <c r="AE14" s="110">
        <v>23</v>
      </c>
      <c r="AF14" s="110">
        <v>28</v>
      </c>
      <c r="AG14" s="110">
        <v>23</v>
      </c>
      <c r="AH14" s="110">
        <v>11</v>
      </c>
      <c r="AI14" s="110">
        <v>20</v>
      </c>
      <c r="AJ14" s="110">
        <v>15</v>
      </c>
      <c r="AK14" s="110">
        <v>15</v>
      </c>
      <c r="AL14" s="110">
        <v>20</v>
      </c>
      <c r="AM14" s="110">
        <v>21</v>
      </c>
      <c r="AN14" s="110">
        <v>22</v>
      </c>
      <c r="AO14" s="110">
        <v>23</v>
      </c>
      <c r="AP14" s="110">
        <v>22</v>
      </c>
      <c r="AQ14" s="110">
        <v>33</v>
      </c>
      <c r="AR14" s="110">
        <v>35</v>
      </c>
      <c r="AS14" s="110">
        <v>41</v>
      </c>
      <c r="AT14" s="110">
        <v>40</v>
      </c>
      <c r="AU14" s="110">
        <v>42</v>
      </c>
      <c r="AV14" s="110">
        <v>41</v>
      </c>
      <c r="AW14" s="110">
        <v>41</v>
      </c>
      <c r="AX14" s="110">
        <v>37</v>
      </c>
      <c r="AY14" s="110">
        <v>36</v>
      </c>
      <c r="AZ14" s="110">
        <v>36</v>
      </c>
      <c r="BA14" s="110">
        <v>35</v>
      </c>
      <c r="BB14" s="110">
        <v>36</v>
      </c>
      <c r="BC14" s="110">
        <v>44</v>
      </c>
      <c r="BD14" s="110">
        <v>47</v>
      </c>
      <c r="BE14" s="110">
        <v>44</v>
      </c>
      <c r="BF14" s="110">
        <v>37</v>
      </c>
      <c r="BG14" s="20">
        <v>47</v>
      </c>
      <c r="BH14" s="20">
        <v>39</v>
      </c>
      <c r="BI14" s="20">
        <v>40</v>
      </c>
      <c r="BJ14" s="20">
        <v>33</v>
      </c>
      <c r="BK14" s="20">
        <v>25</v>
      </c>
      <c r="BL14" s="20">
        <v>37</v>
      </c>
      <c r="BM14" s="20">
        <v>58</v>
      </c>
      <c r="BN14" s="20">
        <v>47.138263665594856</v>
      </c>
      <c r="BO14" s="20">
        <v>50.066225165562919</v>
      </c>
      <c r="BP14" s="20">
        <v>48.997906072390066</v>
      </c>
      <c r="BQ14" s="65">
        <v>51</v>
      </c>
      <c r="BR14" s="65">
        <v>25</v>
      </c>
      <c r="BS14" s="65">
        <v>45</v>
      </c>
      <c r="BT14" s="65">
        <f>29</f>
        <v>29</v>
      </c>
      <c r="BU14" s="65">
        <f>19</f>
        <v>19</v>
      </c>
      <c r="BV14" s="65">
        <v>14</v>
      </c>
      <c r="BW14" s="65">
        <f>32</f>
        <v>32</v>
      </c>
      <c r="BX14" s="65">
        <f>22</f>
        <v>22</v>
      </c>
    </row>
    <row r="15" spans="1:76" x14ac:dyDescent="0.2">
      <c r="A15" s="23"/>
      <c r="B15" s="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9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0"/>
      <c r="BG15" s="20"/>
      <c r="BH15" s="20"/>
      <c r="BI15" s="20"/>
      <c r="BJ15" s="9"/>
      <c r="BK15" s="9"/>
      <c r="BL15" s="9"/>
      <c r="BM15" s="9"/>
      <c r="BN15" s="9"/>
      <c r="BO15" s="9"/>
      <c r="BP15" s="9"/>
      <c r="BS15" s="6"/>
      <c r="BT15" s="6"/>
      <c r="BU15" s="65"/>
      <c r="BV15" s="65"/>
      <c r="BW15" s="65"/>
      <c r="BX15" s="65"/>
    </row>
    <row r="16" spans="1:76" x14ac:dyDescent="0.2">
      <c r="A16" s="5" t="s">
        <v>91</v>
      </c>
      <c r="B16" s="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0"/>
      <c r="BG16" s="20"/>
      <c r="BH16" s="20"/>
      <c r="BI16" s="20"/>
      <c r="BJ16" s="9"/>
      <c r="BK16" s="9"/>
      <c r="BL16" s="9"/>
      <c r="BM16" s="9"/>
      <c r="BN16" s="9"/>
      <c r="BO16" s="9"/>
      <c r="BP16" s="9"/>
      <c r="BS16" s="6"/>
      <c r="BT16" s="6"/>
      <c r="BU16" s="65"/>
      <c r="BV16" s="65"/>
      <c r="BW16" s="65"/>
      <c r="BX16" s="65"/>
    </row>
    <row r="17" spans="1:76" x14ac:dyDescent="0.2">
      <c r="A17" s="9" t="s">
        <v>27</v>
      </c>
      <c r="B17" s="7" t="s">
        <v>38</v>
      </c>
      <c r="C17" s="21">
        <f>SUM(R17:U17)</f>
        <v>270012</v>
      </c>
      <c r="D17" s="21">
        <f>SUM(V17:Y17)</f>
        <v>316466</v>
      </c>
      <c r="E17" s="21">
        <f>SUM(Z17:AC17)</f>
        <v>356075</v>
      </c>
      <c r="F17" s="21">
        <f>SUM(AD17:AG17)</f>
        <v>457055.99999999994</v>
      </c>
      <c r="G17" s="21">
        <f>SUM(AH17:AK17)</f>
        <v>385252.00999999983</v>
      </c>
      <c r="H17" s="21">
        <f>SUM(AL17:AO17)</f>
        <v>496008</v>
      </c>
      <c r="I17" s="21">
        <f>SUM(AP17:AS17)</f>
        <v>512160.82999999996</v>
      </c>
      <c r="J17" s="21">
        <f>SUM(AT17:AW17)</f>
        <v>627996.36000000057</v>
      </c>
      <c r="K17" s="21">
        <f>SUM(AX17:BA17)</f>
        <v>630399.10999999975</v>
      </c>
      <c r="L17" s="21">
        <f>SUM(BB17:BE17)</f>
        <v>538194.04</v>
      </c>
      <c r="M17" s="21">
        <f>SUM(BF17:BI17)</f>
        <v>446479.84000000008</v>
      </c>
      <c r="N17" s="21">
        <f t="shared" si="0"/>
        <v>292395</v>
      </c>
      <c r="O17" s="21">
        <f>SUM(BN17:BQ17)</f>
        <v>547234.76</v>
      </c>
      <c r="P17" s="21">
        <f>SUM(BR17:BU17)</f>
        <v>699959.08999999985</v>
      </c>
      <c r="Q17" s="9"/>
      <c r="R17" s="21">
        <v>59638</v>
      </c>
      <c r="S17" s="21">
        <v>62544</v>
      </c>
      <c r="T17" s="21">
        <v>63737</v>
      </c>
      <c r="U17" s="21">
        <v>84093</v>
      </c>
      <c r="V17" s="21">
        <v>77726</v>
      </c>
      <c r="W17" s="21">
        <v>69155</v>
      </c>
      <c r="X17" s="21">
        <v>75102</v>
      </c>
      <c r="Y17" s="21">
        <v>94483</v>
      </c>
      <c r="Z17" s="21">
        <v>73481</v>
      </c>
      <c r="AA17" s="21">
        <v>80042</v>
      </c>
      <c r="AB17" s="21">
        <v>92755</v>
      </c>
      <c r="AC17" s="21">
        <v>109797</v>
      </c>
      <c r="AD17" s="21">
        <v>109059.86999999998</v>
      </c>
      <c r="AE17" s="21">
        <v>94914.339999999938</v>
      </c>
      <c r="AF17" s="21">
        <v>106039.39000000001</v>
      </c>
      <c r="AG17" s="21">
        <v>147042.40000000002</v>
      </c>
      <c r="AH17" s="21">
        <v>46989.890000000007</v>
      </c>
      <c r="AI17" s="21">
        <v>41973</v>
      </c>
      <c r="AJ17" s="21">
        <v>121522.17999999996</v>
      </c>
      <c r="AK17" s="21">
        <v>174766.93999999986</v>
      </c>
      <c r="AL17" s="21">
        <v>135003</v>
      </c>
      <c r="AM17" s="21">
        <v>100599</v>
      </c>
      <c r="AN17" s="21">
        <v>106661</v>
      </c>
      <c r="AO17" s="21">
        <v>153745</v>
      </c>
      <c r="AP17" s="21">
        <v>113645.64999999998</v>
      </c>
      <c r="AQ17" s="21">
        <v>122427.20999999999</v>
      </c>
      <c r="AR17" s="21">
        <v>113979.40000000005</v>
      </c>
      <c r="AS17" s="21">
        <v>162108.56999999995</v>
      </c>
      <c r="AT17" s="21">
        <v>134075.34000000008</v>
      </c>
      <c r="AU17" s="21">
        <v>128467.99000000011</v>
      </c>
      <c r="AV17" s="21">
        <v>154096.60000000015</v>
      </c>
      <c r="AW17" s="21">
        <v>211356.43000000023</v>
      </c>
      <c r="AX17" s="21">
        <v>167954.35000000003</v>
      </c>
      <c r="AY17" s="21">
        <v>154257.2699999999</v>
      </c>
      <c r="AZ17" s="21">
        <v>136657.71999999997</v>
      </c>
      <c r="BA17" s="21">
        <v>171529.76999999981</v>
      </c>
      <c r="BB17" s="21">
        <v>125971.07999999997</v>
      </c>
      <c r="BC17" s="21">
        <v>94984.22000000003</v>
      </c>
      <c r="BD17" s="21">
        <v>150450.70000000001</v>
      </c>
      <c r="BE17" s="21">
        <v>166788.04</v>
      </c>
      <c r="BF17" s="20">
        <v>98670.300000000032</v>
      </c>
      <c r="BG17" s="20">
        <v>122269.54000000007</v>
      </c>
      <c r="BH17" s="20">
        <v>96470</v>
      </c>
      <c r="BI17" s="20">
        <v>129070</v>
      </c>
      <c r="BJ17" s="20">
        <v>90439</v>
      </c>
      <c r="BK17" s="20">
        <v>53036</v>
      </c>
      <c r="BL17" s="20">
        <v>66986</v>
      </c>
      <c r="BM17" s="20">
        <v>81934</v>
      </c>
      <c r="BN17" s="20">
        <v>73632.870000000039</v>
      </c>
      <c r="BO17" s="20">
        <v>110647.41</v>
      </c>
      <c r="BP17" s="20">
        <v>156337.03</v>
      </c>
      <c r="BQ17" s="65">
        <v>206617.44999999995</v>
      </c>
      <c r="BR17" s="65">
        <v>189205</v>
      </c>
      <c r="BS17" s="65">
        <v>195951.15999999989</v>
      </c>
      <c r="BT17" s="65">
        <v>157360.99999999997</v>
      </c>
      <c r="BU17" s="65">
        <v>157441.93</v>
      </c>
      <c r="BV17" s="65">
        <v>192077</v>
      </c>
      <c r="BW17" s="65">
        <v>103677.55000000002</v>
      </c>
      <c r="BX17" s="65">
        <f>175226</f>
        <v>175226</v>
      </c>
    </row>
    <row r="18" spans="1:76" x14ac:dyDescent="0.2">
      <c r="A18" s="24" t="s">
        <v>39</v>
      </c>
      <c r="B18" s="25" t="s">
        <v>38</v>
      </c>
      <c r="C18" s="26">
        <v>328435</v>
      </c>
      <c r="D18" s="26">
        <v>363120</v>
      </c>
      <c r="E18" s="26">
        <v>468248</v>
      </c>
      <c r="F18" s="26">
        <v>583483</v>
      </c>
      <c r="G18" s="26">
        <v>502203</v>
      </c>
      <c r="H18" s="26">
        <v>420325</v>
      </c>
      <c r="I18" s="26">
        <f>SUM(AP18:AS18)</f>
        <v>422946</v>
      </c>
      <c r="J18" s="26">
        <f>SUM(AT18:AW18)</f>
        <v>479339</v>
      </c>
      <c r="K18" s="26">
        <f>SUM(AX18:BA18)</f>
        <v>621866.93999999994</v>
      </c>
      <c r="L18" s="26">
        <f>SUM(BB18:BE18)</f>
        <v>540325.10000000009</v>
      </c>
      <c r="M18" s="26">
        <f>SUM(BF18:BI18)</f>
        <v>421209.4</v>
      </c>
      <c r="N18" s="26">
        <f t="shared" si="0"/>
        <v>734773</v>
      </c>
      <c r="O18" s="26">
        <f>SUM(BN18:BQ18)</f>
        <v>416726.2</v>
      </c>
      <c r="P18" s="26">
        <f>SUM(BR18:BU18)</f>
        <v>161232</v>
      </c>
      <c r="Q18" s="9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>
        <v>0</v>
      </c>
      <c r="AQ18" s="26">
        <v>107796.6</v>
      </c>
      <c r="AR18" s="26">
        <v>19771.7</v>
      </c>
      <c r="AS18" s="26">
        <v>295377.7</v>
      </c>
      <c r="AT18" s="26">
        <v>0</v>
      </c>
      <c r="AU18" s="26">
        <v>0</v>
      </c>
      <c r="AV18" s="26">
        <v>56270</v>
      </c>
      <c r="AW18" s="26">
        <v>423069</v>
      </c>
      <c r="AX18" s="26">
        <v>34538.639999999999</v>
      </c>
      <c r="AY18" s="26">
        <v>211804.59999999998</v>
      </c>
      <c r="AZ18" s="26">
        <v>67230.100000000006</v>
      </c>
      <c r="BA18" s="26">
        <v>308293.60000000003</v>
      </c>
      <c r="BB18" s="26">
        <v>88512.6</v>
      </c>
      <c r="BC18" s="26">
        <v>88846.8</v>
      </c>
      <c r="BD18" s="26">
        <v>15569.7</v>
      </c>
      <c r="BE18" s="26">
        <v>347396</v>
      </c>
      <c r="BF18" s="27">
        <v>3028.4</v>
      </c>
      <c r="BG18" s="27">
        <v>0</v>
      </c>
      <c r="BH18" s="27">
        <v>181071</v>
      </c>
      <c r="BI18" s="27">
        <v>237110</v>
      </c>
      <c r="BJ18" s="27">
        <v>175693</v>
      </c>
      <c r="BK18" s="27">
        <v>58981</v>
      </c>
      <c r="BL18" s="27">
        <v>100377</v>
      </c>
      <c r="BM18" s="27">
        <v>399722</v>
      </c>
      <c r="BN18" s="27">
        <v>88068.2</v>
      </c>
      <c r="BO18" s="27">
        <v>107671.70000000001</v>
      </c>
      <c r="BP18" s="27">
        <v>43235.3</v>
      </c>
      <c r="BQ18" s="27">
        <v>177751</v>
      </c>
      <c r="BR18" s="27">
        <v>0</v>
      </c>
      <c r="BS18" s="27">
        <f>50919</f>
        <v>50919</v>
      </c>
      <c r="BT18" s="27">
        <f>35495</f>
        <v>35495</v>
      </c>
      <c r="BU18" s="27">
        <f>74818</f>
        <v>74818</v>
      </c>
      <c r="BV18" s="27">
        <v>73153</v>
      </c>
      <c r="BW18" s="27">
        <f>90700</f>
        <v>90700</v>
      </c>
      <c r="BX18" s="27">
        <f>149778</f>
        <v>149778</v>
      </c>
    </row>
    <row r="19" spans="1:76" x14ac:dyDescent="0.2">
      <c r="A19" s="68"/>
      <c r="B19" s="7"/>
      <c r="C19" s="10"/>
      <c r="D19" s="10"/>
      <c r="E19" s="10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9"/>
      <c r="R19" s="9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9"/>
      <c r="AD19" s="9"/>
      <c r="AE19" s="9"/>
      <c r="AF19" s="9"/>
      <c r="AG19" s="9"/>
      <c r="AH19" s="9"/>
      <c r="AI19" s="209"/>
      <c r="AJ19" s="20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76" x14ac:dyDescent="0.2">
      <c r="A20" s="68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9"/>
      <c r="AD20" s="9"/>
      <c r="AE20" s="9"/>
      <c r="AF20" s="9"/>
      <c r="AG20" s="9"/>
      <c r="AH20" s="20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</row>
    <row r="21" spans="1:76" ht="18" x14ac:dyDescent="0.25">
      <c r="A21" s="54" t="s">
        <v>290</v>
      </c>
      <c r="B21" s="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9"/>
      <c r="N21" s="9"/>
      <c r="O21" s="9"/>
      <c r="P21" s="9"/>
      <c r="Q21" s="9"/>
      <c r="R21" s="9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76" x14ac:dyDescent="0.2">
      <c r="A22" s="2" t="s">
        <v>1</v>
      </c>
      <c r="B22" s="7"/>
      <c r="C22" s="10"/>
      <c r="D22" s="10"/>
      <c r="E22" s="10"/>
      <c r="F22" s="10"/>
      <c r="G22" s="10"/>
      <c r="H22" s="10"/>
      <c r="I22" s="1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  <row r="23" spans="1:76" x14ac:dyDescent="0.2">
      <c r="A23" s="68"/>
      <c r="B23" s="7"/>
      <c r="C23" s="10"/>
      <c r="D23" s="10"/>
      <c r="E23" s="10"/>
      <c r="F23" s="10"/>
      <c r="G23" s="10"/>
      <c r="H23" s="10"/>
      <c r="I23" s="1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</row>
    <row r="24" spans="1:76" x14ac:dyDescent="0.2">
      <c r="A24" s="19"/>
      <c r="B24" s="106" t="s">
        <v>2</v>
      </c>
      <c r="C24" s="107">
        <v>2011</v>
      </c>
      <c r="D24" s="107">
        <v>2012</v>
      </c>
      <c r="E24" s="107">
        <v>2013</v>
      </c>
      <c r="F24" s="107">
        <v>2014</v>
      </c>
      <c r="G24" s="107">
        <v>2015</v>
      </c>
      <c r="H24" s="107">
        <v>2016</v>
      </c>
      <c r="I24" s="107">
        <v>2017</v>
      </c>
      <c r="J24" s="107">
        <v>2018</v>
      </c>
      <c r="K24" s="107">
        <v>2019</v>
      </c>
      <c r="L24" s="107">
        <v>2020</v>
      </c>
      <c r="M24" s="107">
        <v>2021</v>
      </c>
      <c r="N24" s="107">
        <f>N5</f>
        <v>2022</v>
      </c>
      <c r="O24" s="107">
        <f>O5</f>
        <v>2023</v>
      </c>
      <c r="P24" s="107">
        <f>P5</f>
        <v>2024</v>
      </c>
      <c r="Q24" s="108"/>
      <c r="R24" s="109" t="s">
        <v>47</v>
      </c>
      <c r="S24" s="109" t="s">
        <v>48</v>
      </c>
      <c r="T24" s="109" t="s">
        <v>49</v>
      </c>
      <c r="U24" s="109" t="s">
        <v>50</v>
      </c>
      <c r="V24" s="109" t="s">
        <v>51</v>
      </c>
      <c r="W24" s="109" t="s">
        <v>52</v>
      </c>
      <c r="X24" s="109" t="s">
        <v>53</v>
      </c>
      <c r="Y24" s="109" t="s">
        <v>54</v>
      </c>
      <c r="Z24" s="109" t="s">
        <v>55</v>
      </c>
      <c r="AA24" s="109" t="s">
        <v>56</v>
      </c>
      <c r="AB24" s="109" t="s">
        <v>57</v>
      </c>
      <c r="AC24" s="109" t="s">
        <v>58</v>
      </c>
      <c r="AD24" s="109" t="s">
        <v>59</v>
      </c>
      <c r="AE24" s="109" t="s">
        <v>60</v>
      </c>
      <c r="AF24" s="109" t="s">
        <v>61</v>
      </c>
      <c r="AG24" s="109" t="s">
        <v>62</v>
      </c>
      <c r="AH24" s="109" t="s">
        <v>63</v>
      </c>
      <c r="AI24" s="109" t="s">
        <v>64</v>
      </c>
      <c r="AJ24" s="109" t="s">
        <v>65</v>
      </c>
      <c r="AK24" s="109" t="s">
        <v>66</v>
      </c>
      <c r="AL24" s="109" t="s">
        <v>67</v>
      </c>
      <c r="AM24" s="109" t="s">
        <v>68</v>
      </c>
      <c r="AN24" s="109" t="s">
        <v>69</v>
      </c>
      <c r="AO24" s="109" t="s">
        <v>70</v>
      </c>
      <c r="AP24" s="109" t="s">
        <v>71</v>
      </c>
      <c r="AQ24" s="109" t="s">
        <v>72</v>
      </c>
      <c r="AR24" s="109" t="s">
        <v>73</v>
      </c>
      <c r="AS24" s="109" t="s">
        <v>74</v>
      </c>
      <c r="AT24" s="109" t="s">
        <v>75</v>
      </c>
      <c r="AU24" s="109" t="s">
        <v>76</v>
      </c>
      <c r="AV24" s="109" t="s">
        <v>77</v>
      </c>
      <c r="AW24" s="109" t="s">
        <v>78</v>
      </c>
      <c r="AX24" s="109" t="s">
        <v>79</v>
      </c>
      <c r="AY24" s="109" t="s">
        <v>80</v>
      </c>
      <c r="AZ24" s="109" t="s">
        <v>81</v>
      </c>
      <c r="BA24" s="109" t="s">
        <v>82</v>
      </c>
      <c r="BB24" s="109" t="s">
        <v>83</v>
      </c>
      <c r="BC24" s="109" t="s">
        <v>84</v>
      </c>
      <c r="BD24" s="109" t="s">
        <v>85</v>
      </c>
      <c r="BE24" s="109" t="s">
        <v>86</v>
      </c>
      <c r="BF24" s="109" t="s">
        <v>87</v>
      </c>
      <c r="BG24" s="109" t="s">
        <v>88</v>
      </c>
      <c r="BH24" s="109" t="s">
        <v>89</v>
      </c>
      <c r="BI24" s="109" t="s">
        <v>90</v>
      </c>
      <c r="BJ24" s="109" t="s">
        <v>302</v>
      </c>
      <c r="BK24" s="109" t="s">
        <v>303</v>
      </c>
      <c r="BL24" s="109" t="s">
        <v>309</v>
      </c>
      <c r="BM24" s="109" t="s">
        <v>310</v>
      </c>
      <c r="BN24" s="109" t="str">
        <f>BN5</f>
        <v>1Q 2023</v>
      </c>
      <c r="BO24" s="109" t="str">
        <f t="shared" ref="BO24:BP24" si="2">BO5</f>
        <v>2Q 2023</v>
      </c>
      <c r="BP24" s="109" t="str">
        <f t="shared" si="2"/>
        <v>3Q 2023</v>
      </c>
      <c r="BQ24" s="109" t="s">
        <v>401</v>
      </c>
      <c r="BR24" s="109" t="s">
        <v>423</v>
      </c>
      <c r="BS24" s="109" t="s">
        <v>424</v>
      </c>
      <c r="BT24" s="109" t="s">
        <v>427</v>
      </c>
      <c r="BU24" s="109" t="s">
        <v>428</v>
      </c>
      <c r="BV24" s="109" t="s">
        <v>436</v>
      </c>
      <c r="BW24" s="109" t="s">
        <v>481</v>
      </c>
      <c r="BX24" s="109" t="s">
        <v>485</v>
      </c>
    </row>
    <row r="25" spans="1:76" x14ac:dyDescent="0.2">
      <c r="A25" s="5" t="s">
        <v>26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9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9"/>
      <c r="BK25" s="9"/>
      <c r="BL25" s="9"/>
      <c r="BS25" s="6"/>
      <c r="BT25" s="6"/>
      <c r="BU25" s="6"/>
      <c r="BV25" s="6"/>
      <c r="BW25" s="6"/>
      <c r="BX25" s="6"/>
    </row>
    <row r="26" spans="1:76" x14ac:dyDescent="0.2">
      <c r="A26" s="28" t="s">
        <v>27</v>
      </c>
      <c r="B26" s="7" t="s">
        <v>5</v>
      </c>
      <c r="C26" s="29">
        <f>SUM(R26:U26)</f>
        <v>18306</v>
      </c>
      <c r="D26" s="29">
        <f>SUM(V26:Y26)</f>
        <v>23739</v>
      </c>
      <c r="E26" s="29">
        <f>SUM(Z26:AC26)</f>
        <v>30227</v>
      </c>
      <c r="F26" s="29">
        <f>SUM(AD26:AG26)</f>
        <v>39961</v>
      </c>
      <c r="G26" s="29">
        <f>SUM(AH26:AK26)</f>
        <v>35080</v>
      </c>
      <c r="H26" s="29">
        <f>SUM(AL26:AO26)</f>
        <v>47444</v>
      </c>
      <c r="I26" s="29">
        <f>SUM(AP26:AS26)</f>
        <v>50240</v>
      </c>
      <c r="J26" s="29">
        <f t="shared" ref="J26:J32" si="3">SUM(AT26:AW26)</f>
        <v>68731.252889259995</v>
      </c>
      <c r="K26" s="29">
        <f t="shared" ref="K26:K32" si="4">SUM(AX26:BA26)</f>
        <v>77627.406625240008</v>
      </c>
      <c r="L26" s="29">
        <f t="shared" ref="L26:L32" si="5">SUM(BB26:BE26)</f>
        <v>79922.186658060004</v>
      </c>
      <c r="M26" s="29">
        <f t="shared" ref="M26:M32" si="6">SUM(BF26:BI26)</f>
        <v>84387.99390999999</v>
      </c>
      <c r="N26" s="29">
        <f>SUM(BJ26:BM26)</f>
        <v>58652</v>
      </c>
      <c r="O26" s="29">
        <f t="shared" ref="O26:O33" si="7">SUM(BN26:BQ26)</f>
        <v>105563.58845944001</v>
      </c>
      <c r="P26" s="29">
        <f>SUM(BR26:BU26)</f>
        <v>146241</v>
      </c>
      <c r="Q26" s="28"/>
      <c r="R26" s="29">
        <v>4158</v>
      </c>
      <c r="S26" s="29">
        <v>3781</v>
      </c>
      <c r="T26" s="29">
        <v>4336</v>
      </c>
      <c r="U26" s="29">
        <v>6031</v>
      </c>
      <c r="V26" s="29">
        <v>5566</v>
      </c>
      <c r="W26" s="29">
        <v>5195</v>
      </c>
      <c r="X26" s="29">
        <v>5563</v>
      </c>
      <c r="Y26" s="29">
        <v>7415</v>
      </c>
      <c r="Z26" s="29">
        <v>5923</v>
      </c>
      <c r="AA26" s="29">
        <v>6746</v>
      </c>
      <c r="AB26" s="29">
        <v>8152</v>
      </c>
      <c r="AC26" s="29">
        <v>9406</v>
      </c>
      <c r="AD26" s="29">
        <v>9077</v>
      </c>
      <c r="AE26" s="29">
        <v>8095</v>
      </c>
      <c r="AF26" s="29">
        <v>9480</v>
      </c>
      <c r="AG26" s="29">
        <v>13309</v>
      </c>
      <c r="AH26" s="29">
        <v>3804</v>
      </c>
      <c r="AI26" s="29">
        <v>4110</v>
      </c>
      <c r="AJ26" s="29">
        <v>11392</v>
      </c>
      <c r="AK26" s="29">
        <v>15774</v>
      </c>
      <c r="AL26" s="29">
        <v>12860</v>
      </c>
      <c r="AM26" s="29">
        <v>10284</v>
      </c>
      <c r="AN26" s="29">
        <v>10575</v>
      </c>
      <c r="AO26" s="29">
        <v>13725</v>
      </c>
      <c r="AP26" s="29">
        <v>10248</v>
      </c>
      <c r="AQ26" s="29">
        <v>11346</v>
      </c>
      <c r="AR26" s="29">
        <v>11970</v>
      </c>
      <c r="AS26" s="29">
        <v>16676</v>
      </c>
      <c r="AT26" s="29">
        <v>13605.154832299999</v>
      </c>
      <c r="AU26" s="29">
        <v>13881.61159593</v>
      </c>
      <c r="AV26" s="29">
        <v>16798.903380110001</v>
      </c>
      <c r="AW26" s="29">
        <v>24445.583080919998</v>
      </c>
      <c r="AX26" s="29">
        <f t="shared" ref="AX26:BG26" si="8">SUM(AX27:AX28)</f>
        <v>19952.326535440006</v>
      </c>
      <c r="AY26" s="29">
        <f t="shared" si="8"/>
        <v>18782.154632409998</v>
      </c>
      <c r="AZ26" s="29">
        <f t="shared" si="8"/>
        <v>17098.350112380002</v>
      </c>
      <c r="BA26" s="29">
        <f t="shared" si="8"/>
        <v>21794.575345010002</v>
      </c>
      <c r="BB26" s="29">
        <f t="shared" si="8"/>
        <v>17936.319567000002</v>
      </c>
      <c r="BC26" s="29">
        <f t="shared" si="8"/>
        <v>11585.362794000001</v>
      </c>
      <c r="BD26" s="29">
        <f t="shared" si="8"/>
        <v>23982.568796</v>
      </c>
      <c r="BE26" s="29">
        <f t="shared" si="8"/>
        <v>26417.935501059997</v>
      </c>
      <c r="BF26" s="29">
        <f t="shared" si="8"/>
        <v>16214.395377000001</v>
      </c>
      <c r="BG26" s="29">
        <f t="shared" si="8"/>
        <v>24932.598532999997</v>
      </c>
      <c r="BH26" s="30">
        <v>18390</v>
      </c>
      <c r="BI26" s="30">
        <v>24851</v>
      </c>
      <c r="BJ26" s="30">
        <v>19681</v>
      </c>
      <c r="BK26" s="30">
        <v>9638</v>
      </c>
      <c r="BL26" s="30">
        <v>13329</v>
      </c>
      <c r="BM26" s="66">
        <v>16004</v>
      </c>
      <c r="BN26" s="66">
        <f>BN7</f>
        <v>13436.384795000002</v>
      </c>
      <c r="BO26" s="66">
        <f t="shared" ref="BO26:BQ26" si="9">BO7</f>
        <v>20566.103885999997</v>
      </c>
      <c r="BP26" s="66">
        <f t="shared" si="9"/>
        <v>31169.099778440002</v>
      </c>
      <c r="BQ26" s="66">
        <f t="shared" si="9"/>
        <v>40392</v>
      </c>
      <c r="BR26" s="66">
        <v>40965</v>
      </c>
      <c r="BS26" s="66">
        <v>37627</v>
      </c>
      <c r="BT26" s="66">
        <f>36948</f>
        <v>36948</v>
      </c>
      <c r="BU26" s="66">
        <f>30701</f>
        <v>30701</v>
      </c>
      <c r="BV26" s="66">
        <f>37377</f>
        <v>37377</v>
      </c>
      <c r="BW26" s="66">
        <f>24824</f>
        <v>24824</v>
      </c>
      <c r="BX26" s="66">
        <f>46855</f>
        <v>46855</v>
      </c>
    </row>
    <row r="27" spans="1:76" x14ac:dyDescent="0.2">
      <c r="A27" s="22" t="s">
        <v>92</v>
      </c>
      <c r="B27" s="7" t="s">
        <v>5</v>
      </c>
      <c r="C27" s="21"/>
      <c r="D27" s="21"/>
      <c r="E27" s="21"/>
      <c r="F27" s="21"/>
      <c r="G27" s="21"/>
      <c r="H27" s="21"/>
      <c r="I27" s="21"/>
      <c r="J27" s="21">
        <f t="shared" si="3"/>
        <v>34266</v>
      </c>
      <c r="K27" s="21">
        <f t="shared" si="4"/>
        <v>43180.279834750007</v>
      </c>
      <c r="L27" s="21">
        <f t="shared" si="5"/>
        <v>46743.44769406</v>
      </c>
      <c r="M27" s="21">
        <f t="shared" si="6"/>
        <v>54052.761195999999</v>
      </c>
      <c r="N27" s="21">
        <f t="shared" ref="N27:N50" si="10">SUM(BJ27:BM27)</f>
        <v>32296</v>
      </c>
      <c r="O27" s="21">
        <f t="shared" si="7"/>
        <v>58068.222750470006</v>
      </c>
      <c r="P27" s="21">
        <f t="shared" ref="P27:P33" si="11">SUM(BR27:BU27)</f>
        <v>74735.384345999992</v>
      </c>
      <c r="Q27" s="9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>
        <v>6342</v>
      </c>
      <c r="AU27" s="21">
        <v>6671</v>
      </c>
      <c r="AV27" s="21">
        <v>8453</v>
      </c>
      <c r="AW27" s="21">
        <v>12800</v>
      </c>
      <c r="AX27" s="21">
        <v>11601.924496440004</v>
      </c>
      <c r="AY27" s="21">
        <v>10877.05207541</v>
      </c>
      <c r="AZ27" s="21">
        <v>10050.512491379999</v>
      </c>
      <c r="BA27" s="21">
        <v>10650.79077152</v>
      </c>
      <c r="BB27" s="21">
        <v>10141.073105000001</v>
      </c>
      <c r="BC27" s="21">
        <v>5745.7992039999999</v>
      </c>
      <c r="BD27" s="21">
        <v>15541.945221000002</v>
      </c>
      <c r="BE27" s="21">
        <v>15314.63016406</v>
      </c>
      <c r="BF27" s="21">
        <v>9450.5745100000004</v>
      </c>
      <c r="BG27" s="21">
        <v>18431.186685999997</v>
      </c>
      <c r="BH27" s="20">
        <v>11303</v>
      </c>
      <c r="BI27" s="20">
        <v>14868</v>
      </c>
      <c r="BJ27" s="20">
        <v>11793</v>
      </c>
      <c r="BK27" s="20">
        <v>5720</v>
      </c>
      <c r="BL27" s="20">
        <v>7100</v>
      </c>
      <c r="BM27" s="20">
        <v>7683</v>
      </c>
      <c r="BN27" s="20">
        <v>7136.6284859999996</v>
      </c>
      <c r="BO27" s="20">
        <v>10352.425899</v>
      </c>
      <c r="BP27" s="20">
        <v>18168.306126470001</v>
      </c>
      <c r="BQ27" s="20">
        <v>22410.862239000002</v>
      </c>
      <c r="BR27" s="20">
        <v>26513.054758999999</v>
      </c>
      <c r="BS27" s="20">
        <v>17573.646098999998</v>
      </c>
      <c r="BT27" s="20">
        <v>17475.174886000001</v>
      </c>
      <c r="BU27" s="20">
        <v>13173.508602</v>
      </c>
      <c r="BV27" s="20">
        <f>19152</f>
        <v>19152</v>
      </c>
      <c r="BW27" s="20">
        <f>11600</f>
        <v>11600</v>
      </c>
      <c r="BX27" s="20">
        <f>30048</f>
        <v>30048</v>
      </c>
    </row>
    <row r="28" spans="1:76" x14ac:dyDescent="0.2">
      <c r="A28" s="22" t="s">
        <v>93</v>
      </c>
      <c r="B28" s="7" t="s">
        <v>5</v>
      </c>
      <c r="C28" s="21"/>
      <c r="D28" s="21"/>
      <c r="E28" s="21"/>
      <c r="F28" s="21"/>
      <c r="G28" s="21"/>
      <c r="H28" s="21"/>
      <c r="I28" s="21"/>
      <c r="J28" s="21">
        <f t="shared" si="3"/>
        <v>34465</v>
      </c>
      <c r="K28" s="21">
        <f t="shared" si="4"/>
        <v>34447.126790490001</v>
      </c>
      <c r="L28" s="21">
        <f t="shared" si="5"/>
        <v>33178.738963999996</v>
      </c>
      <c r="M28" s="21">
        <f t="shared" si="6"/>
        <v>30335.232713999998</v>
      </c>
      <c r="N28" s="21">
        <f t="shared" si="10"/>
        <v>20944</v>
      </c>
      <c r="O28" s="21">
        <f t="shared" si="7"/>
        <v>23739.191398449999</v>
      </c>
      <c r="P28" s="21">
        <f t="shared" si="11"/>
        <v>40829</v>
      </c>
      <c r="Q28" s="9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>
        <v>7264</v>
      </c>
      <c r="AU28" s="21">
        <v>7210</v>
      </c>
      <c r="AV28" s="21">
        <v>8346</v>
      </c>
      <c r="AW28" s="21">
        <v>11645</v>
      </c>
      <c r="AX28" s="21">
        <v>8350.4020390000005</v>
      </c>
      <c r="AY28" s="21">
        <v>7905.1025570000002</v>
      </c>
      <c r="AZ28" s="21">
        <v>7047.8376210000006</v>
      </c>
      <c r="BA28" s="21">
        <v>11143.78457349</v>
      </c>
      <c r="BB28" s="21">
        <v>7795.2464620000001</v>
      </c>
      <c r="BC28" s="21">
        <v>5839.5635899999997</v>
      </c>
      <c r="BD28" s="21">
        <v>8440.6235749999996</v>
      </c>
      <c r="BE28" s="21">
        <v>11103.305337</v>
      </c>
      <c r="BF28" s="21">
        <v>6763.8208670000004</v>
      </c>
      <c r="BG28" s="21">
        <v>6501.4118469999994</v>
      </c>
      <c r="BH28" s="20">
        <v>7088</v>
      </c>
      <c r="BI28" s="20">
        <v>9982</v>
      </c>
      <c r="BJ28" s="20">
        <v>7888</v>
      </c>
      <c r="BK28" s="20">
        <v>3535</v>
      </c>
      <c r="BL28" s="20">
        <v>4482</v>
      </c>
      <c r="BM28" s="65">
        <v>5039</v>
      </c>
      <c r="BN28" s="20">
        <v>3360.8110019999999</v>
      </c>
      <c r="BO28" s="20">
        <v>6149.3626540000005</v>
      </c>
      <c r="BP28" s="20">
        <v>6468.3942924499997</v>
      </c>
      <c r="BQ28" s="20">
        <v>7760.6234499999991</v>
      </c>
      <c r="BR28" s="20">
        <v>6888</v>
      </c>
      <c r="BS28" s="20">
        <v>10366</v>
      </c>
      <c r="BT28" s="20">
        <f>12045</f>
        <v>12045</v>
      </c>
      <c r="BU28" s="20">
        <f>11530</f>
        <v>11530</v>
      </c>
      <c r="BV28" s="20">
        <f>11918</f>
        <v>11918</v>
      </c>
      <c r="BW28" s="20">
        <f>8086</f>
        <v>8086</v>
      </c>
      <c r="BX28" s="20">
        <f>11528</f>
        <v>11528</v>
      </c>
    </row>
    <row r="29" spans="1:76" x14ac:dyDescent="0.2">
      <c r="A29" s="22" t="s">
        <v>304</v>
      </c>
      <c r="B29" s="7" t="s">
        <v>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f>SUM(BJ29:BM29)</f>
        <v>5412</v>
      </c>
      <c r="O29" s="21">
        <f t="shared" si="7"/>
        <v>23756.383300519999</v>
      </c>
      <c r="P29" s="21">
        <f t="shared" si="11"/>
        <v>30677</v>
      </c>
      <c r="Q29" s="9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0"/>
      <c r="BI29" s="20"/>
      <c r="BJ29" s="20"/>
      <c r="BK29" s="20">
        <v>383</v>
      </c>
      <c r="BL29" s="20">
        <v>1747</v>
      </c>
      <c r="BM29" s="20">
        <v>3282</v>
      </c>
      <c r="BN29" s="20">
        <v>2938.9453070000004</v>
      </c>
      <c r="BO29" s="20">
        <v>4064.3153329999996</v>
      </c>
      <c r="BP29" s="20">
        <v>6532.3993595200009</v>
      </c>
      <c r="BQ29" s="20">
        <v>10220.723301</v>
      </c>
      <c r="BR29" s="20">
        <v>7564</v>
      </c>
      <c r="BS29" s="20">
        <v>9687</v>
      </c>
      <c r="BT29" s="20">
        <f>7428</f>
        <v>7428</v>
      </c>
      <c r="BU29" s="20">
        <f>5998</f>
        <v>5998</v>
      </c>
      <c r="BV29" s="20">
        <f>6308</f>
        <v>6308</v>
      </c>
      <c r="BW29" s="20">
        <f>5138</f>
        <v>5138</v>
      </c>
      <c r="BX29" s="20">
        <f>5279</f>
        <v>5279</v>
      </c>
    </row>
    <row r="30" spans="1:76" x14ac:dyDescent="0.2">
      <c r="A30" s="28" t="s">
        <v>28</v>
      </c>
      <c r="B30" s="7" t="s">
        <v>5</v>
      </c>
      <c r="C30" s="29"/>
      <c r="D30" s="29"/>
      <c r="E30" s="29">
        <f>SUM(Z30:AC30)</f>
        <v>26073</v>
      </c>
      <c r="F30" s="29">
        <f>SUM(AD30:AG30)</f>
        <v>35335</v>
      </c>
      <c r="G30" s="29">
        <f>SUM(AH30:AK30)</f>
        <v>25845</v>
      </c>
      <c r="H30" s="29">
        <f>SUM(AL30:AO30)</f>
        <v>39723.422637700001</v>
      </c>
      <c r="I30" s="29">
        <f>SUM(AP30:AS30)</f>
        <v>46147</v>
      </c>
      <c r="J30" s="29">
        <f t="shared" si="3"/>
        <v>62785.436452919996</v>
      </c>
      <c r="K30" s="29">
        <f t="shared" si="4"/>
        <v>77713.387916539999</v>
      </c>
      <c r="L30" s="29">
        <f t="shared" si="5"/>
        <v>81985.030014119999</v>
      </c>
      <c r="M30" s="29">
        <f t="shared" si="6"/>
        <v>84093.78253756999</v>
      </c>
      <c r="N30" s="29">
        <f t="shared" si="10"/>
        <v>50386</v>
      </c>
      <c r="O30" s="29">
        <f t="shared" si="7"/>
        <v>82107.948539289995</v>
      </c>
      <c r="P30" s="29">
        <f t="shared" si="11"/>
        <v>95575.0591441</v>
      </c>
      <c r="Q30" s="28"/>
      <c r="R30" s="29"/>
      <c r="S30" s="29"/>
      <c r="T30" s="29"/>
      <c r="U30" s="29"/>
      <c r="V30" s="29"/>
      <c r="W30" s="29"/>
      <c r="X30" s="29"/>
      <c r="Y30" s="29"/>
      <c r="Z30" s="29">
        <v>5237</v>
      </c>
      <c r="AA30" s="29">
        <v>5703</v>
      </c>
      <c r="AB30" s="29">
        <v>6769</v>
      </c>
      <c r="AC30" s="29">
        <v>8364</v>
      </c>
      <c r="AD30" s="29">
        <v>9088</v>
      </c>
      <c r="AE30" s="29">
        <v>5747</v>
      </c>
      <c r="AF30" s="29">
        <v>9012</v>
      </c>
      <c r="AG30" s="29">
        <v>11488</v>
      </c>
      <c r="AH30" s="29">
        <v>6003</v>
      </c>
      <c r="AI30" s="29">
        <v>4412</v>
      </c>
      <c r="AJ30" s="29">
        <v>5798</v>
      </c>
      <c r="AK30" s="29">
        <v>9632</v>
      </c>
      <c r="AL30" s="29">
        <v>10570.772917070002</v>
      </c>
      <c r="AM30" s="29">
        <v>9286</v>
      </c>
      <c r="AN30" s="29">
        <v>8743.8683072799995</v>
      </c>
      <c r="AO30" s="29">
        <v>11122.78141335</v>
      </c>
      <c r="AP30" s="29">
        <v>9714</v>
      </c>
      <c r="AQ30" s="29">
        <v>9283</v>
      </c>
      <c r="AR30" s="29">
        <v>12433</v>
      </c>
      <c r="AS30" s="29">
        <v>14717</v>
      </c>
      <c r="AT30" s="29">
        <v>12777.758215059999</v>
      </c>
      <c r="AU30" s="29">
        <v>14693.6143854</v>
      </c>
      <c r="AV30" s="29">
        <v>15010.584524129999</v>
      </c>
      <c r="AW30" s="29">
        <v>20303.479328329999</v>
      </c>
      <c r="AX30" s="29">
        <f t="shared" ref="AX30:BE30" si="12">SUM(AX31:AX32)</f>
        <v>23631.847321820002</v>
      </c>
      <c r="AY30" s="29">
        <f t="shared" si="12"/>
        <v>19176.827587320004</v>
      </c>
      <c r="AZ30" s="29">
        <f t="shared" si="12"/>
        <v>16114.074190340001</v>
      </c>
      <c r="BA30" s="29">
        <f t="shared" si="12"/>
        <v>18790.638817060004</v>
      </c>
      <c r="BB30" s="29">
        <f t="shared" si="12"/>
        <v>17604.427967750002</v>
      </c>
      <c r="BC30" s="29">
        <f t="shared" si="12"/>
        <v>13942.190508559997</v>
      </c>
      <c r="BD30" s="29">
        <f t="shared" si="12"/>
        <v>21235.062525180001</v>
      </c>
      <c r="BE30" s="29">
        <f t="shared" si="12"/>
        <v>29203.349012630002</v>
      </c>
      <c r="BF30" s="30">
        <f>SUM(BF31:BF32)</f>
        <v>18036.233013270001</v>
      </c>
      <c r="BG30" s="30">
        <f>SUM(BG31:BG32)</f>
        <v>22852.549524299997</v>
      </c>
      <c r="BH30" s="30">
        <v>19308</v>
      </c>
      <c r="BI30" s="30">
        <v>23897</v>
      </c>
      <c r="BJ30" s="30">
        <v>21235</v>
      </c>
      <c r="BK30" s="30">
        <v>11402</v>
      </c>
      <c r="BL30" s="30">
        <v>1170</v>
      </c>
      <c r="BM30" s="66">
        <v>16579</v>
      </c>
      <c r="BN30" s="66">
        <f>BN8</f>
        <v>12000.56727009</v>
      </c>
      <c r="BO30" s="66">
        <f t="shared" ref="BO30:BQ30" si="13">BO8</f>
        <v>16208.977656510002</v>
      </c>
      <c r="BP30" s="66">
        <f t="shared" si="13"/>
        <v>24684.403612690003</v>
      </c>
      <c r="BQ30" s="66">
        <f t="shared" si="13"/>
        <v>29214</v>
      </c>
      <c r="BR30" s="66">
        <v>21587.418372629996</v>
      </c>
      <c r="BS30" s="66">
        <v>27201.23845058</v>
      </c>
      <c r="BT30" s="66">
        <v>24560.283543609999</v>
      </c>
      <c r="BU30" s="66">
        <v>22226.11877728</v>
      </c>
      <c r="BV30" s="66">
        <f>18096</f>
        <v>18096</v>
      </c>
      <c r="BW30" s="66">
        <f>21530</f>
        <v>21530</v>
      </c>
      <c r="BX30" s="66">
        <f>20125</f>
        <v>20125</v>
      </c>
    </row>
    <row r="31" spans="1:76" x14ac:dyDescent="0.2">
      <c r="A31" s="22" t="s">
        <v>92</v>
      </c>
      <c r="B31" s="7" t="s">
        <v>5</v>
      </c>
      <c r="C31" s="21"/>
      <c r="D31" s="21"/>
      <c r="E31" s="21"/>
      <c r="F31" s="21"/>
      <c r="G31" s="21"/>
      <c r="H31" s="21"/>
      <c r="I31" s="21"/>
      <c r="J31" s="21">
        <f t="shared" si="3"/>
        <v>31104</v>
      </c>
      <c r="K31" s="21">
        <f t="shared" si="4"/>
        <v>45656.239232670006</v>
      </c>
      <c r="L31" s="21">
        <f t="shared" si="5"/>
        <v>48673.272599920005</v>
      </c>
      <c r="M31" s="21">
        <f t="shared" si="6"/>
        <v>52435.787770880001</v>
      </c>
      <c r="N31" s="21">
        <f t="shared" si="10"/>
        <v>31501</v>
      </c>
      <c r="O31" s="21">
        <f t="shared" si="7"/>
        <v>41954.12411212</v>
      </c>
      <c r="P31" s="21">
        <f t="shared" si="11"/>
        <v>42490.069317759997</v>
      </c>
      <c r="Q31" s="9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>
        <v>6243</v>
      </c>
      <c r="AU31" s="21">
        <v>6641</v>
      </c>
      <c r="AV31" s="21">
        <v>7312</v>
      </c>
      <c r="AW31" s="21">
        <v>10908</v>
      </c>
      <c r="AX31" s="21">
        <v>14262.318003740002</v>
      </c>
      <c r="AY31" s="21">
        <v>11768.061539420001</v>
      </c>
      <c r="AZ31" s="21">
        <v>9737.9950076300011</v>
      </c>
      <c r="BA31" s="21">
        <v>9887.8646818800007</v>
      </c>
      <c r="BB31" s="21">
        <v>9323.5371594600001</v>
      </c>
      <c r="BC31" s="21">
        <v>7176.1069611499988</v>
      </c>
      <c r="BD31" s="21">
        <v>13737.299425159999</v>
      </c>
      <c r="BE31" s="21">
        <v>18436.329054150003</v>
      </c>
      <c r="BF31" s="20">
        <v>9861.0000419499993</v>
      </c>
      <c r="BG31" s="20">
        <v>16624.034578929997</v>
      </c>
      <c r="BH31" s="20">
        <v>11832.28983</v>
      </c>
      <c r="BI31" s="20">
        <v>14118.463320000001</v>
      </c>
      <c r="BJ31" s="20">
        <v>11609</v>
      </c>
      <c r="BK31" s="20">
        <v>6800</v>
      </c>
      <c r="BL31" s="20">
        <v>5405</v>
      </c>
      <c r="BM31" s="65">
        <v>7687</v>
      </c>
      <c r="BN31" s="20">
        <v>5822.5120402499997</v>
      </c>
      <c r="BO31" s="20">
        <v>7857.4142038400005</v>
      </c>
      <c r="BP31" s="20">
        <v>13206.448385120002</v>
      </c>
      <c r="BQ31" s="20">
        <v>15067.749482909998</v>
      </c>
      <c r="BR31" s="20">
        <v>11166.96979865</v>
      </c>
      <c r="BS31" s="20">
        <v>11766.929140209999</v>
      </c>
      <c r="BT31" s="20">
        <v>10531.3192963</v>
      </c>
      <c r="BU31" s="20">
        <v>9024.8510825999983</v>
      </c>
      <c r="BV31" s="20">
        <f>5862</f>
        <v>5862</v>
      </c>
      <c r="BW31" s="20">
        <f>9181</f>
        <v>9181</v>
      </c>
      <c r="BX31" s="20">
        <f>8931</f>
        <v>8931</v>
      </c>
    </row>
    <row r="32" spans="1:76" x14ac:dyDescent="0.2">
      <c r="A32" s="22" t="s">
        <v>93</v>
      </c>
      <c r="B32" s="7" t="s">
        <v>5</v>
      </c>
      <c r="C32" s="21"/>
      <c r="D32" s="21"/>
      <c r="E32" s="21"/>
      <c r="F32" s="21"/>
      <c r="G32" s="21"/>
      <c r="H32" s="21"/>
      <c r="I32" s="21"/>
      <c r="J32" s="21">
        <f t="shared" si="3"/>
        <v>31683</v>
      </c>
      <c r="K32" s="21">
        <f t="shared" si="4"/>
        <v>32057.14868387</v>
      </c>
      <c r="L32" s="21">
        <f t="shared" si="5"/>
        <v>33311.757414200001</v>
      </c>
      <c r="M32" s="21">
        <f t="shared" si="6"/>
        <v>31657.747916690001</v>
      </c>
      <c r="N32" s="21">
        <f t="shared" si="10"/>
        <v>24205</v>
      </c>
      <c r="O32" s="21">
        <f t="shared" si="7"/>
        <v>20422.653538030001</v>
      </c>
      <c r="P32" s="21">
        <f>SUM(BR32:BU32)</f>
        <v>30528.600168420002</v>
      </c>
      <c r="Q32" s="9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6535</v>
      </c>
      <c r="AU32" s="21">
        <v>8053</v>
      </c>
      <c r="AV32" s="21">
        <v>7699</v>
      </c>
      <c r="AW32" s="21">
        <v>9396</v>
      </c>
      <c r="AX32" s="21">
        <v>9369.5293180799999</v>
      </c>
      <c r="AY32" s="21">
        <v>7408.7660479000006</v>
      </c>
      <c r="AZ32" s="21">
        <v>6376.0791827100002</v>
      </c>
      <c r="BA32" s="21">
        <v>8902.7741351800014</v>
      </c>
      <c r="BB32" s="21">
        <v>8280.8908082900016</v>
      </c>
      <c r="BC32" s="21">
        <v>6766.0835474099995</v>
      </c>
      <c r="BD32" s="21">
        <v>7497.7631000200008</v>
      </c>
      <c r="BE32" s="21">
        <v>10767.019958479999</v>
      </c>
      <c r="BF32" s="20">
        <v>8175.2329713199997</v>
      </c>
      <c r="BG32" s="20">
        <v>6228.5149453699996</v>
      </c>
      <c r="BH32" s="20">
        <v>7475</v>
      </c>
      <c r="BI32" s="20">
        <v>9779</v>
      </c>
      <c r="BJ32" s="20">
        <v>9627</v>
      </c>
      <c r="BK32" s="20">
        <v>4303</v>
      </c>
      <c r="BL32" s="20">
        <v>4354</v>
      </c>
      <c r="BM32" s="65">
        <v>5921</v>
      </c>
      <c r="BN32" s="20">
        <v>3199.9154398100004</v>
      </c>
      <c r="BO32" s="20">
        <v>4853.0675351399996</v>
      </c>
      <c r="BP32" s="20">
        <v>6064.5328054000001</v>
      </c>
      <c r="BQ32" s="20">
        <v>6305.1377576800005</v>
      </c>
      <c r="BR32" s="20">
        <v>5511.3248675799987</v>
      </c>
      <c r="BS32" s="20">
        <v>8532.2948402500006</v>
      </c>
      <c r="BT32" s="20">
        <v>7848.1382900600001</v>
      </c>
      <c r="BU32" s="20">
        <v>8636.8421705300007</v>
      </c>
      <c r="BV32" s="20">
        <f>8573</f>
        <v>8573</v>
      </c>
      <c r="BW32" s="20">
        <f>7954</f>
        <v>7954</v>
      </c>
      <c r="BX32" s="20">
        <f>6612</f>
        <v>6612</v>
      </c>
    </row>
    <row r="33" spans="1:76" x14ac:dyDescent="0.2">
      <c r="A33" s="22" t="s">
        <v>304</v>
      </c>
      <c r="B33" s="7" t="s">
        <v>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>
        <f>SUM(BJ33:BM33)</f>
        <v>4679</v>
      </c>
      <c r="O33" s="21">
        <f t="shared" si="7"/>
        <v>19730.795129850001</v>
      </c>
      <c r="P33" s="21">
        <f t="shared" si="11"/>
        <v>22556.389657919997</v>
      </c>
      <c r="Q33" s="9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0"/>
      <c r="BG33" s="20"/>
      <c r="BH33" s="20"/>
      <c r="BI33" s="20"/>
      <c r="BJ33" s="20"/>
      <c r="BK33" s="20">
        <v>299</v>
      </c>
      <c r="BL33" s="20">
        <v>1410</v>
      </c>
      <c r="BM33" s="65">
        <v>2970</v>
      </c>
      <c r="BN33" s="20">
        <v>2978.1397900299999</v>
      </c>
      <c r="BO33" s="20">
        <v>3498.49591753</v>
      </c>
      <c r="BP33" s="20">
        <v>5413.4224221700006</v>
      </c>
      <c r="BQ33" s="20">
        <v>7840.7370001199997</v>
      </c>
      <c r="BR33" s="20">
        <v>4909.1237063999997</v>
      </c>
      <c r="BS33" s="20">
        <v>6902.0144701199997</v>
      </c>
      <c r="BT33" s="20">
        <v>6180.8259572500001</v>
      </c>
      <c r="BU33" s="20">
        <v>4564.4255241500005</v>
      </c>
      <c r="BV33" s="20">
        <f>3662</f>
        <v>3662</v>
      </c>
      <c r="BW33" s="20">
        <f>4395</f>
        <v>4395</v>
      </c>
      <c r="BX33" s="20">
        <f>4582</f>
        <v>4582</v>
      </c>
    </row>
    <row r="34" spans="1:76" x14ac:dyDescent="0.2">
      <c r="A34" s="28" t="s">
        <v>29</v>
      </c>
      <c r="B34" s="7" t="s">
        <v>30</v>
      </c>
      <c r="C34" s="29">
        <v>67797</v>
      </c>
      <c r="D34" s="29">
        <v>75013</v>
      </c>
      <c r="E34" s="29">
        <v>84889</v>
      </c>
      <c r="F34" s="29">
        <v>87431</v>
      </c>
      <c r="G34" s="29">
        <v>91057.20360523343</v>
      </c>
      <c r="H34" s="29">
        <v>95649.762108517345</v>
      </c>
      <c r="I34" s="29">
        <v>98094.123288225688</v>
      </c>
      <c r="J34" s="29">
        <v>109445.30457033213</v>
      </c>
      <c r="K34" s="29">
        <v>123140.09552653086</v>
      </c>
      <c r="L34" s="29">
        <v>148500.69067665632</v>
      </c>
      <c r="M34" s="29">
        <v>189008.00940000001</v>
      </c>
      <c r="N34" s="29">
        <f>AVERAGE(BJ34:BM34)</f>
        <v>198413</v>
      </c>
      <c r="O34" s="29">
        <f>O26/O44*1000000</f>
        <v>192903.66068748999</v>
      </c>
      <c r="P34" s="29">
        <f>P26/P44*1000000</f>
        <v>208927.92463056667</v>
      </c>
      <c r="Q34" s="28"/>
      <c r="R34" s="29">
        <v>69721</v>
      </c>
      <c r="S34" s="29">
        <v>60453</v>
      </c>
      <c r="T34" s="29">
        <v>68030</v>
      </c>
      <c r="U34" s="29">
        <v>71718</v>
      </c>
      <c r="V34" s="29">
        <v>71611</v>
      </c>
      <c r="W34" s="29">
        <v>75120</v>
      </c>
      <c r="X34" s="29">
        <v>74073</v>
      </c>
      <c r="Y34" s="29">
        <v>78484</v>
      </c>
      <c r="Z34" s="29">
        <v>80606</v>
      </c>
      <c r="AA34" s="29">
        <v>81102</v>
      </c>
      <c r="AB34" s="29">
        <v>87800</v>
      </c>
      <c r="AC34" s="29">
        <v>85667</v>
      </c>
      <c r="AD34" s="29">
        <v>83228.279413133379</v>
      </c>
      <c r="AE34" s="29">
        <v>85288.692095209277</v>
      </c>
      <c r="AF34" s="29">
        <v>89402.153728722871</v>
      </c>
      <c r="AG34" s="29">
        <v>90510.557914723904</v>
      </c>
      <c r="AH34" s="29">
        <v>80946.282812226491</v>
      </c>
      <c r="AI34" s="29">
        <v>97918.322170442902</v>
      </c>
      <c r="AJ34" s="29">
        <v>93746.002211283601</v>
      </c>
      <c r="AK34" s="29">
        <v>90258.314857375255</v>
      </c>
      <c r="AL34" s="29">
        <v>95254</v>
      </c>
      <c r="AM34" s="29">
        <v>102223</v>
      </c>
      <c r="AN34" s="29">
        <v>99144</v>
      </c>
      <c r="AO34" s="29">
        <v>89272</v>
      </c>
      <c r="AP34" s="29">
        <v>90177.794240254676</v>
      </c>
      <c r="AQ34" s="29">
        <v>92675.773665021043</v>
      </c>
      <c r="AR34" s="29">
        <v>105015.44777916004</v>
      </c>
      <c r="AS34" s="29">
        <v>102869.44993975338</v>
      </c>
      <c r="AT34" s="29">
        <v>101473.95361667546</v>
      </c>
      <c r="AU34" s="29">
        <v>108055.02285767831</v>
      </c>
      <c r="AV34" s="29">
        <v>109015.40579162672</v>
      </c>
      <c r="AW34" s="29">
        <v>115660.46550332049</v>
      </c>
      <c r="AX34" s="29">
        <v>118796.12844466366</v>
      </c>
      <c r="AY34" s="29">
        <v>121758.63498952119</v>
      </c>
      <c r="AZ34" s="29">
        <v>125118.06952713689</v>
      </c>
      <c r="BA34" s="29">
        <v>127060.01614186288</v>
      </c>
      <c r="BB34" s="29">
        <v>142384.42321047024</v>
      </c>
      <c r="BC34" s="29">
        <v>121971.44740463202</v>
      </c>
      <c r="BD34" s="29">
        <v>159404.83358335987</v>
      </c>
      <c r="BE34" s="29">
        <v>158392.26542298836</v>
      </c>
      <c r="BF34" s="30">
        <v>164329.03697465188</v>
      </c>
      <c r="BG34" s="30">
        <v>203915.04321517842</v>
      </c>
      <c r="BH34" s="30">
        <v>190633</v>
      </c>
      <c r="BI34" s="30">
        <v>192538</v>
      </c>
      <c r="BJ34" s="30">
        <v>217611</v>
      </c>
      <c r="BK34" s="30">
        <v>181732</v>
      </c>
      <c r="BL34" s="30">
        <v>198985</v>
      </c>
      <c r="BM34" s="30">
        <v>195324</v>
      </c>
      <c r="BN34" s="30">
        <f>BN9</f>
        <v>182478.08071313796</v>
      </c>
      <c r="BO34" s="30">
        <f t="shared" ref="BO34:BQ34" si="14">BO9</f>
        <v>185870.63073595663</v>
      </c>
      <c r="BP34" s="30">
        <f t="shared" si="14"/>
        <v>199371.19042391944</v>
      </c>
      <c r="BQ34" s="30">
        <f t="shared" si="14"/>
        <v>195493</v>
      </c>
      <c r="BR34" s="30">
        <v>216512</v>
      </c>
      <c r="BS34" s="30">
        <v>192021</v>
      </c>
      <c r="BT34" s="30">
        <f>234799</f>
        <v>234799</v>
      </c>
      <c r="BU34" s="30">
        <f>195000</f>
        <v>195000</v>
      </c>
      <c r="BV34" s="30">
        <f>194595</f>
        <v>194595</v>
      </c>
      <c r="BW34" s="30">
        <f>239432</f>
        <v>239432</v>
      </c>
      <c r="BX34" s="30">
        <f>267395</f>
        <v>267395</v>
      </c>
    </row>
    <row r="35" spans="1:76" x14ac:dyDescent="0.2">
      <c r="A35" s="22" t="s">
        <v>92</v>
      </c>
      <c r="B35" s="7" t="s">
        <v>30</v>
      </c>
      <c r="C35" s="21"/>
      <c r="D35" s="21"/>
      <c r="E35" s="21"/>
      <c r="F35" s="21"/>
      <c r="G35" s="21"/>
      <c r="H35" s="21"/>
      <c r="I35" s="21"/>
      <c r="J35" s="21"/>
      <c r="K35" s="21">
        <v>142717</v>
      </c>
      <c r="L35" s="21">
        <v>171585</v>
      </c>
      <c r="M35" s="21">
        <v>227675.32320000001</v>
      </c>
      <c r="N35" s="21">
        <f t="shared" ref="N35:N36" si="15">AVERAGE(BJ35:BM35)</f>
        <v>264026.25</v>
      </c>
      <c r="O35" s="21">
        <f>O27/O45*1000000</f>
        <v>275729.8315307544</v>
      </c>
      <c r="P35" s="21">
        <f>P27/P45*1000000</f>
        <v>300729.07098191651</v>
      </c>
      <c r="Q35" s="9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>
        <v>106636</v>
      </c>
      <c r="AU35" s="21">
        <v>111066</v>
      </c>
      <c r="AV35" s="21">
        <v>109630</v>
      </c>
      <c r="AW35" s="21">
        <v>119972</v>
      </c>
      <c r="AX35" s="21">
        <v>134674.20860035415</v>
      </c>
      <c r="AY35" s="21">
        <v>144541.35515290051</v>
      </c>
      <c r="AZ35" s="21">
        <v>141407.16011891101</v>
      </c>
      <c r="BA35" s="21">
        <v>151970.89868517112</v>
      </c>
      <c r="BB35" s="21">
        <v>171385.11339795694</v>
      </c>
      <c r="BC35" s="21">
        <v>122861.17023687845</v>
      </c>
      <c r="BD35" s="21">
        <v>194240.88155076321</v>
      </c>
      <c r="BE35" s="21">
        <v>177110.01248022571</v>
      </c>
      <c r="BF35" s="20">
        <v>182564.76327908901</v>
      </c>
      <c r="BG35" s="20">
        <v>232271.66960820701</v>
      </c>
      <c r="BH35" s="20">
        <v>228589</v>
      </c>
      <c r="BI35" s="20">
        <v>261542</v>
      </c>
      <c r="BJ35" s="20">
        <v>277236</v>
      </c>
      <c r="BK35" s="20">
        <v>227781</v>
      </c>
      <c r="BL35" s="20">
        <v>281433</v>
      </c>
      <c r="BM35" s="65">
        <v>269655</v>
      </c>
      <c r="BN35" s="20">
        <v>241677.11333712612</v>
      </c>
      <c r="BO35" s="20">
        <v>252623.76515448411</v>
      </c>
      <c r="BP35" s="20">
        <v>298533.53502197156</v>
      </c>
      <c r="BQ35" s="20">
        <v>282856.39688387804</v>
      </c>
      <c r="BR35" s="20">
        <v>297300</v>
      </c>
      <c r="BS35" s="20">
        <f>301581</f>
        <v>301581</v>
      </c>
      <c r="BT35" s="20">
        <f>315182</f>
        <v>315182</v>
      </c>
      <c r="BU35" s="20">
        <f>288781</f>
        <v>288781</v>
      </c>
      <c r="BV35" s="20">
        <v>214244</v>
      </c>
      <c r="BW35" s="20">
        <f>357299</f>
        <v>357299</v>
      </c>
      <c r="BX35" s="20">
        <f>319428</f>
        <v>319428</v>
      </c>
    </row>
    <row r="36" spans="1:76" x14ac:dyDescent="0.2">
      <c r="A36" s="22" t="s">
        <v>93</v>
      </c>
      <c r="B36" s="7" t="s">
        <v>30</v>
      </c>
      <c r="C36" s="21"/>
      <c r="D36" s="21"/>
      <c r="E36" s="21"/>
      <c r="F36" s="21"/>
      <c r="G36" s="21"/>
      <c r="H36" s="21"/>
      <c r="I36" s="21"/>
      <c r="J36" s="21"/>
      <c r="K36" s="21">
        <v>105073</v>
      </c>
      <c r="L36" s="21">
        <v>124839</v>
      </c>
      <c r="M36" s="21">
        <v>145098.54550000001</v>
      </c>
      <c r="N36" s="21">
        <f t="shared" si="15"/>
        <v>175386.25</v>
      </c>
      <c r="O36" s="21">
        <f t="shared" ref="O36:P37" si="16">O28/O46*1000000</f>
        <v>160148.86525165982</v>
      </c>
      <c r="P36" s="21">
        <f t="shared" si="16"/>
        <v>162763.11323591121</v>
      </c>
      <c r="Q36" s="9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>
        <v>97359</v>
      </c>
      <c r="AU36" s="21">
        <v>105411</v>
      </c>
      <c r="AV36" s="21">
        <v>108400</v>
      </c>
      <c r="AW36" s="21">
        <v>111265</v>
      </c>
      <c r="AX36" s="21">
        <v>102075.33039949139</v>
      </c>
      <c r="AY36" s="21">
        <v>100058.14254499302</v>
      </c>
      <c r="AZ36" s="21">
        <v>107464.84053042623</v>
      </c>
      <c r="BA36" s="21">
        <v>109850.11609688206</v>
      </c>
      <c r="BB36" s="21">
        <v>116695.62076664282</v>
      </c>
      <c r="BC36" s="21">
        <v>121108.49913371918</v>
      </c>
      <c r="BD36" s="21">
        <v>119832.36031155818</v>
      </c>
      <c r="BE36" s="21">
        <v>138241.03100844199</v>
      </c>
      <c r="BF36" s="20">
        <v>144203.477839108</v>
      </c>
      <c r="BG36" s="20">
        <v>151485.59596287701</v>
      </c>
      <c r="BH36" s="20">
        <v>150724</v>
      </c>
      <c r="BI36" s="20">
        <v>138221</v>
      </c>
      <c r="BJ36" s="20">
        <v>164666</v>
      </c>
      <c r="BK36" s="20">
        <v>150977</v>
      </c>
      <c r="BL36" s="20">
        <v>188567</v>
      </c>
      <c r="BM36" s="65">
        <v>197335</v>
      </c>
      <c r="BN36" s="20">
        <v>177360.30188304858</v>
      </c>
      <c r="BO36" s="20">
        <v>180061.7501297897</v>
      </c>
      <c r="BP36" s="20">
        <v>159854.74301852004</v>
      </c>
      <c r="BQ36" s="20">
        <v>141960.82360662741</v>
      </c>
      <c r="BR36" s="20">
        <v>141576</v>
      </c>
      <c r="BS36" s="20">
        <v>142807</v>
      </c>
      <c r="BT36" s="20">
        <f>219096</f>
        <v>219096</v>
      </c>
      <c r="BU36" s="20">
        <f>154488</f>
        <v>154488</v>
      </c>
      <c r="BV36" s="20">
        <v>186747</v>
      </c>
      <c r="BW36" s="20">
        <f>210562</f>
        <v>210562</v>
      </c>
      <c r="BX36" s="20">
        <f>231312</f>
        <v>231312</v>
      </c>
    </row>
    <row r="37" spans="1:76" x14ac:dyDescent="0.2">
      <c r="A37" s="22" t="s">
        <v>304</v>
      </c>
      <c r="B37" s="7" t="s">
        <v>30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>AVERAGE(BJ37:BM37)</f>
        <v>99888.666666666672</v>
      </c>
      <c r="O37" s="21">
        <f t="shared" si="16"/>
        <v>126128.67869874639</v>
      </c>
      <c r="P37" s="21">
        <v>152928</v>
      </c>
      <c r="Q37" s="9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0"/>
      <c r="BG37" s="20"/>
      <c r="BH37" s="20"/>
      <c r="BI37" s="20"/>
      <c r="BJ37" s="20"/>
      <c r="BK37" s="20">
        <v>84945</v>
      </c>
      <c r="BL37" s="20">
        <v>97128</v>
      </c>
      <c r="BM37" s="65">
        <v>117593</v>
      </c>
      <c r="BN37" s="20">
        <v>116837.1142246169</v>
      </c>
      <c r="BO37" s="20">
        <v>114475.2441986622</v>
      </c>
      <c r="BP37" s="20">
        <v>118829.83704499254</v>
      </c>
      <c r="BQ37" s="20">
        <v>140549.85070041681</v>
      </c>
      <c r="BR37" s="20">
        <v>147238</v>
      </c>
      <c r="BS37" s="20">
        <v>148820</v>
      </c>
      <c r="BT37" s="20">
        <f>158242</f>
        <v>158242</v>
      </c>
      <c r="BU37" s="20">
        <f>161270</f>
        <v>161270</v>
      </c>
      <c r="BV37" s="20">
        <f>162290</f>
        <v>162290</v>
      </c>
      <c r="BW37" s="20">
        <f>156588</f>
        <v>156588</v>
      </c>
      <c r="BX37" s="20">
        <f>168538</f>
        <v>168538</v>
      </c>
    </row>
    <row r="38" spans="1:76" x14ac:dyDescent="0.2">
      <c r="A38" s="28" t="s">
        <v>32</v>
      </c>
      <c r="B38" s="7" t="s">
        <v>33</v>
      </c>
      <c r="C38" s="29"/>
      <c r="D38" s="29">
        <f>SUM(V38:Y38)</f>
        <v>5797</v>
      </c>
      <c r="E38" s="29">
        <f>SUM(Z38:AC38)</f>
        <v>6876</v>
      </c>
      <c r="F38" s="29">
        <f>SUM(AD38:AG38)</f>
        <v>9045</v>
      </c>
      <c r="G38" s="29">
        <f>SUM(AH38:AK38)</f>
        <v>7841</v>
      </c>
      <c r="H38" s="29">
        <f>SUM(AL38:AO38)</f>
        <v>9590</v>
      </c>
      <c r="I38" s="29">
        <f>SUM(AP38:AS38)</f>
        <v>9916</v>
      </c>
      <c r="J38" s="29">
        <f>SUM(AT38:AW38)</f>
        <v>12312</v>
      </c>
      <c r="K38" s="29">
        <f>SUM(AX38:BA38)</f>
        <v>12040</v>
      </c>
      <c r="L38" s="29">
        <f>SUM(BB38:BE38)</f>
        <v>9725</v>
      </c>
      <c r="M38" s="29">
        <f>SUM(BF38:BI38)</f>
        <v>8560</v>
      </c>
      <c r="N38" s="29">
        <f t="shared" si="10"/>
        <v>6457</v>
      </c>
      <c r="O38" s="29">
        <f t="shared" ref="O38:O41" si="17">SUM(BN38:BQ38)</f>
        <v>11689</v>
      </c>
      <c r="P38" s="29">
        <f t="shared" ref="P38:P41" si="18">SUM(BR38:BU38)</f>
        <v>14304</v>
      </c>
      <c r="Q38" s="9"/>
      <c r="R38" s="29"/>
      <c r="S38" s="29"/>
      <c r="T38" s="29"/>
      <c r="U38" s="29"/>
      <c r="V38" s="29">
        <v>1338</v>
      </c>
      <c r="W38" s="29">
        <v>1235</v>
      </c>
      <c r="X38" s="29">
        <v>1390</v>
      </c>
      <c r="Y38" s="29">
        <v>1834</v>
      </c>
      <c r="Z38" s="29">
        <v>1454</v>
      </c>
      <c r="AA38" s="29">
        <v>1548</v>
      </c>
      <c r="AB38" s="29">
        <v>1752</v>
      </c>
      <c r="AC38" s="29">
        <v>2122</v>
      </c>
      <c r="AD38" s="29">
        <v>2300</v>
      </c>
      <c r="AE38" s="29">
        <v>2033</v>
      </c>
      <c r="AF38" s="29">
        <v>1960</v>
      </c>
      <c r="AG38" s="29">
        <v>2752</v>
      </c>
      <c r="AH38" s="29">
        <v>1028</v>
      </c>
      <c r="AI38" s="29">
        <v>831</v>
      </c>
      <c r="AJ38" s="29">
        <v>2525</v>
      </c>
      <c r="AK38" s="29">
        <v>3457</v>
      </c>
      <c r="AL38" s="29">
        <v>2634</v>
      </c>
      <c r="AM38" s="29">
        <v>1886</v>
      </c>
      <c r="AN38" s="29">
        <v>2069</v>
      </c>
      <c r="AO38" s="29">
        <v>3001</v>
      </c>
      <c r="AP38" s="29">
        <v>2082</v>
      </c>
      <c r="AQ38" s="29">
        <v>2321</v>
      </c>
      <c r="AR38" s="29">
        <v>2331</v>
      </c>
      <c r="AS38" s="29">
        <v>3182</v>
      </c>
      <c r="AT38" s="29">
        <f t="shared" ref="AT38:BG38" si="19">SUM(AT39:AT40)</f>
        <v>2573</v>
      </c>
      <c r="AU38" s="29">
        <f t="shared" si="19"/>
        <v>2532</v>
      </c>
      <c r="AV38" s="29">
        <f t="shared" si="19"/>
        <v>2962</v>
      </c>
      <c r="AW38" s="29">
        <f t="shared" si="19"/>
        <v>4245</v>
      </c>
      <c r="AX38" s="29">
        <f t="shared" si="19"/>
        <v>3470</v>
      </c>
      <c r="AY38" s="29">
        <f t="shared" si="19"/>
        <v>3060</v>
      </c>
      <c r="AZ38" s="29">
        <f t="shared" si="19"/>
        <v>2579</v>
      </c>
      <c r="BA38" s="29">
        <f t="shared" si="19"/>
        <v>2931</v>
      </c>
      <c r="BB38" s="29">
        <f t="shared" si="19"/>
        <v>2323</v>
      </c>
      <c r="BC38" s="29">
        <f t="shared" si="19"/>
        <v>1559</v>
      </c>
      <c r="BD38" s="29">
        <f t="shared" si="19"/>
        <v>2706</v>
      </c>
      <c r="BE38" s="29">
        <f t="shared" si="19"/>
        <v>3137</v>
      </c>
      <c r="BF38" s="30">
        <f t="shared" si="19"/>
        <v>1989</v>
      </c>
      <c r="BG38" s="30">
        <f t="shared" si="19"/>
        <v>2297</v>
      </c>
      <c r="BH38" s="30">
        <v>1869</v>
      </c>
      <c r="BI38" s="30">
        <v>2405</v>
      </c>
      <c r="BJ38" s="30">
        <v>1899</v>
      </c>
      <c r="BK38" s="30">
        <v>1216</v>
      </c>
      <c r="BL38" s="30">
        <v>1572</v>
      </c>
      <c r="BM38" s="66">
        <v>1770</v>
      </c>
      <c r="BN38" s="66">
        <f>BN12</f>
        <v>1555</v>
      </c>
      <c r="BO38" s="66">
        <f t="shared" ref="BO38:BQ38" si="20">BO12</f>
        <v>2265</v>
      </c>
      <c r="BP38" s="66">
        <f t="shared" si="20"/>
        <v>3343</v>
      </c>
      <c r="BQ38" s="66">
        <f t="shared" si="20"/>
        <v>4526</v>
      </c>
      <c r="BR38" s="66">
        <v>3816</v>
      </c>
      <c r="BS38" s="66">
        <v>3643</v>
      </c>
      <c r="BT38" s="66">
        <f>3368</f>
        <v>3368</v>
      </c>
      <c r="BU38" s="66">
        <f>3477</f>
        <v>3477</v>
      </c>
      <c r="BV38" s="66">
        <f>4075</f>
        <v>4075</v>
      </c>
      <c r="BW38" s="66">
        <f>2479</f>
        <v>2479</v>
      </c>
      <c r="BX38" s="66">
        <f>2772</f>
        <v>2772</v>
      </c>
    </row>
    <row r="39" spans="1:76" x14ac:dyDescent="0.2">
      <c r="A39" s="22" t="s">
        <v>92</v>
      </c>
      <c r="B39" s="7"/>
      <c r="C39" s="21"/>
      <c r="D39" s="21"/>
      <c r="E39" s="21"/>
      <c r="F39" s="21"/>
      <c r="G39" s="21"/>
      <c r="H39" s="21"/>
      <c r="I39" s="21"/>
      <c r="J39" s="21">
        <f>SUM(AT39:AW39)</f>
        <v>5976</v>
      </c>
      <c r="K39" s="21">
        <f>SUM(AX39:BA39)</f>
        <v>5619</v>
      </c>
      <c r="L39" s="21">
        <f>SUM(BB39:BE39)</f>
        <v>4938</v>
      </c>
      <c r="M39" s="21">
        <f>SUM(BF39:BI39)</f>
        <v>4654</v>
      </c>
      <c r="N39" s="21">
        <f t="shared" si="10"/>
        <v>2645</v>
      </c>
      <c r="O39" s="21">
        <f t="shared" si="17"/>
        <v>4269</v>
      </c>
      <c r="P39" s="21">
        <f t="shared" si="18"/>
        <v>5372</v>
      </c>
      <c r="Q39" s="9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>
        <v>1142</v>
      </c>
      <c r="AU39" s="21">
        <v>1246</v>
      </c>
      <c r="AV39" s="21">
        <v>1430</v>
      </c>
      <c r="AW39" s="21">
        <v>2158</v>
      </c>
      <c r="AX39" s="21">
        <v>1763</v>
      </c>
      <c r="AY39" s="21">
        <v>1454</v>
      </c>
      <c r="AZ39" s="21">
        <v>1235</v>
      </c>
      <c r="BA39" s="21">
        <v>1167</v>
      </c>
      <c r="BB39" s="21">
        <v>1122</v>
      </c>
      <c r="BC39" s="21">
        <v>640</v>
      </c>
      <c r="BD39" s="21">
        <v>1461</v>
      </c>
      <c r="BE39" s="21">
        <v>1715</v>
      </c>
      <c r="BF39" s="20">
        <v>1030</v>
      </c>
      <c r="BG39" s="20">
        <v>1479</v>
      </c>
      <c r="BH39" s="20">
        <v>999</v>
      </c>
      <c r="BI39" s="20">
        <v>1146</v>
      </c>
      <c r="BJ39" s="20">
        <v>824</v>
      </c>
      <c r="BK39" s="20">
        <v>638</v>
      </c>
      <c r="BL39" s="20">
        <v>565</v>
      </c>
      <c r="BM39" s="20">
        <v>618</v>
      </c>
      <c r="BN39" s="20">
        <v>624</v>
      </c>
      <c r="BO39" s="20">
        <v>782</v>
      </c>
      <c r="BP39" s="20">
        <v>1256</v>
      </c>
      <c r="BQ39" s="20">
        <v>1607</v>
      </c>
      <c r="BR39" s="20">
        <v>1856</v>
      </c>
      <c r="BS39" s="20">
        <v>1250</v>
      </c>
      <c r="BT39" s="20">
        <f>1136</f>
        <v>1136</v>
      </c>
      <c r="BU39" s="20">
        <f>1130</f>
        <v>1130</v>
      </c>
      <c r="BV39" s="20">
        <f>1650</f>
        <v>1650</v>
      </c>
      <c r="BW39" s="20">
        <f>857</f>
        <v>857</v>
      </c>
      <c r="BX39" s="20">
        <f>1173</f>
        <v>1173</v>
      </c>
    </row>
    <row r="40" spans="1:76" x14ac:dyDescent="0.2">
      <c r="A40" s="22" t="s">
        <v>93</v>
      </c>
      <c r="B40" s="7"/>
      <c r="C40" s="21"/>
      <c r="D40" s="21"/>
      <c r="E40" s="21"/>
      <c r="F40" s="21"/>
      <c r="G40" s="21"/>
      <c r="H40" s="21"/>
      <c r="I40" s="21"/>
      <c r="J40" s="21">
        <f>SUM(AT40:AW40)</f>
        <v>6336</v>
      </c>
      <c r="K40" s="21">
        <f>SUM(AX40:BA40)</f>
        <v>6421</v>
      </c>
      <c r="L40" s="21">
        <f>SUM(BB40:BE40)</f>
        <v>4787</v>
      </c>
      <c r="M40" s="21">
        <f>SUM(BF40:BI40)</f>
        <v>3906</v>
      </c>
      <c r="N40" s="21">
        <f t="shared" si="10"/>
        <v>2609</v>
      </c>
      <c r="O40" s="21">
        <f t="shared" si="17"/>
        <v>3456</v>
      </c>
      <c r="P40" s="21">
        <f t="shared" si="18"/>
        <v>4795</v>
      </c>
      <c r="Q40" s="9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>
        <v>1431</v>
      </c>
      <c r="AU40" s="21">
        <v>1286</v>
      </c>
      <c r="AV40" s="21">
        <v>1532</v>
      </c>
      <c r="AW40" s="21">
        <v>2087</v>
      </c>
      <c r="AX40" s="21">
        <v>1707</v>
      </c>
      <c r="AY40" s="21">
        <v>1606</v>
      </c>
      <c r="AZ40" s="21">
        <v>1344</v>
      </c>
      <c r="BA40" s="21">
        <v>1764</v>
      </c>
      <c r="BB40" s="21">
        <v>1201</v>
      </c>
      <c r="BC40" s="21">
        <v>919</v>
      </c>
      <c r="BD40" s="21">
        <v>1245</v>
      </c>
      <c r="BE40" s="21">
        <v>1422</v>
      </c>
      <c r="BF40" s="20">
        <v>959</v>
      </c>
      <c r="BG40" s="20">
        <v>818</v>
      </c>
      <c r="BH40" s="20">
        <v>870</v>
      </c>
      <c r="BI40" s="20">
        <v>1259</v>
      </c>
      <c r="BJ40" s="20">
        <v>1075</v>
      </c>
      <c r="BK40" s="20">
        <v>460</v>
      </c>
      <c r="BL40" s="20">
        <v>541</v>
      </c>
      <c r="BM40" s="20">
        <v>533</v>
      </c>
      <c r="BN40" s="20">
        <v>398</v>
      </c>
      <c r="BO40" s="20">
        <v>715</v>
      </c>
      <c r="BP40" s="20">
        <v>947</v>
      </c>
      <c r="BQ40" s="20">
        <v>1396</v>
      </c>
      <c r="BR40" s="20">
        <v>902</v>
      </c>
      <c r="BS40" s="20">
        <v>1078</v>
      </c>
      <c r="BT40" s="20">
        <f>1247</f>
        <v>1247</v>
      </c>
      <c r="BU40" s="20">
        <f>1568</f>
        <v>1568</v>
      </c>
      <c r="BV40" s="20">
        <f>1535</f>
        <v>1535</v>
      </c>
      <c r="BW40" s="20">
        <f>908</f>
        <v>908</v>
      </c>
      <c r="BX40" s="20">
        <f>903</f>
        <v>903</v>
      </c>
    </row>
    <row r="41" spans="1:76" x14ac:dyDescent="0.2">
      <c r="A41" s="22" t="s">
        <v>304</v>
      </c>
      <c r="B41" s="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>
        <f>SUM(BJ41:BM41)</f>
        <v>1203</v>
      </c>
      <c r="O41" s="21">
        <f t="shared" si="17"/>
        <v>3964</v>
      </c>
      <c r="P41" s="21">
        <f t="shared" si="18"/>
        <v>4137</v>
      </c>
      <c r="Q41" s="9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0"/>
      <c r="BG41" s="20"/>
      <c r="BH41" s="20"/>
      <c r="BI41" s="20"/>
      <c r="BJ41" s="20"/>
      <c r="BK41" s="20">
        <v>118</v>
      </c>
      <c r="BL41" s="20">
        <v>466</v>
      </c>
      <c r="BM41" s="20">
        <v>619</v>
      </c>
      <c r="BN41" s="20">
        <v>533</v>
      </c>
      <c r="BO41" s="20">
        <v>768</v>
      </c>
      <c r="BP41" s="20">
        <v>1140</v>
      </c>
      <c r="BQ41" s="20">
        <v>1523</v>
      </c>
      <c r="BR41" s="20">
        <v>1058</v>
      </c>
      <c r="BS41" s="20">
        <v>1315</v>
      </c>
      <c r="BT41" s="20">
        <f>985</f>
        <v>985</v>
      </c>
      <c r="BU41" s="20">
        <f>779</f>
        <v>779</v>
      </c>
      <c r="BV41" s="20">
        <f>890</f>
        <v>890</v>
      </c>
      <c r="BW41" s="20">
        <f>714</f>
        <v>714</v>
      </c>
      <c r="BX41" s="20">
        <f>696</f>
        <v>696</v>
      </c>
    </row>
    <row r="42" spans="1:76" x14ac:dyDescent="0.2">
      <c r="A42" s="23"/>
      <c r="B42" s="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9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0"/>
      <c r="BG42" s="20"/>
      <c r="BH42" s="20"/>
      <c r="BI42" s="20"/>
      <c r="BJ42" s="20"/>
      <c r="BK42" s="20"/>
      <c r="BL42" s="20"/>
      <c r="BS42" s="6"/>
      <c r="BT42" s="6"/>
      <c r="BU42" s="6"/>
      <c r="BV42" s="6"/>
      <c r="BW42" s="6"/>
      <c r="BX42" s="6"/>
    </row>
    <row r="43" spans="1:76" x14ac:dyDescent="0.2">
      <c r="A43" s="5" t="s">
        <v>91</v>
      </c>
      <c r="B43" s="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9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0"/>
      <c r="BG43" s="20"/>
      <c r="BH43" s="20"/>
      <c r="BI43" s="20"/>
      <c r="BJ43" s="9"/>
      <c r="BK43" s="9"/>
      <c r="BL43" s="9"/>
      <c r="BS43" s="6"/>
      <c r="BT43" s="6"/>
      <c r="BU43" s="6"/>
      <c r="BV43" s="6"/>
      <c r="BW43" s="6"/>
      <c r="BX43" s="6"/>
    </row>
    <row r="44" spans="1:76" x14ac:dyDescent="0.2">
      <c r="A44" s="28" t="s">
        <v>27</v>
      </c>
      <c r="B44" s="7" t="s">
        <v>38</v>
      </c>
      <c r="C44" s="29">
        <f>SUM(R44:U44)</f>
        <v>270012</v>
      </c>
      <c r="D44" s="29">
        <f>SUM(V44:Y44)</f>
        <v>316466</v>
      </c>
      <c r="E44" s="29">
        <f>SUM(Z44:AC44)</f>
        <v>356075</v>
      </c>
      <c r="F44" s="29">
        <f>SUM(AD44:AG44)</f>
        <v>457055</v>
      </c>
      <c r="G44" s="29">
        <f>SUM(AH44:AK44)</f>
        <v>385252</v>
      </c>
      <c r="H44" s="29">
        <f>SUM(AL44:AO44)</f>
        <v>496008</v>
      </c>
      <c r="I44" s="29">
        <f>SUM(AP44:AS44)</f>
        <v>512161</v>
      </c>
      <c r="J44" s="29">
        <f t="shared" ref="J44:J50" si="21">SUM(AT44:AW44)</f>
        <v>627996</v>
      </c>
      <c r="K44" s="29">
        <f t="shared" ref="K44:K50" si="22">SUM(AX44:BA44)</f>
        <v>630399.1100000001</v>
      </c>
      <c r="L44" s="29">
        <f t="shared" ref="L44:L50" si="23">SUM(BB44:BE44)</f>
        <v>538194.04</v>
      </c>
      <c r="M44" s="29">
        <f>SUM(BF44:BI44)</f>
        <v>446479.84000000008</v>
      </c>
      <c r="N44" s="29">
        <f>SUM(BJ44:BM44)</f>
        <v>292395</v>
      </c>
      <c r="O44" s="29">
        <f t="shared" ref="O44:O51" si="24">SUM(BN44:BQ44)</f>
        <v>547234.76</v>
      </c>
      <c r="P44" s="29">
        <f t="shared" ref="P44:P51" si="25">SUM(BR44:BU44)</f>
        <v>699959.08999999985</v>
      </c>
      <c r="Q44" s="28"/>
      <c r="R44" s="29">
        <v>59638</v>
      </c>
      <c r="S44" s="29">
        <v>62544</v>
      </c>
      <c r="T44" s="29">
        <v>63737</v>
      </c>
      <c r="U44" s="29">
        <v>84093</v>
      </c>
      <c r="V44" s="29">
        <v>77726</v>
      </c>
      <c r="W44" s="29">
        <v>69155</v>
      </c>
      <c r="X44" s="29">
        <v>75102</v>
      </c>
      <c r="Y44" s="29">
        <v>94483</v>
      </c>
      <c r="Z44" s="29">
        <v>73481</v>
      </c>
      <c r="AA44" s="29">
        <v>80042</v>
      </c>
      <c r="AB44" s="29">
        <v>92755</v>
      </c>
      <c r="AC44" s="29">
        <v>109797</v>
      </c>
      <c r="AD44" s="29">
        <v>109060</v>
      </c>
      <c r="AE44" s="29">
        <v>94914</v>
      </c>
      <c r="AF44" s="29">
        <v>106039</v>
      </c>
      <c r="AG44" s="29">
        <v>147042</v>
      </c>
      <c r="AH44" s="29">
        <v>46990</v>
      </c>
      <c r="AI44" s="29">
        <v>41973</v>
      </c>
      <c r="AJ44" s="29">
        <v>121522</v>
      </c>
      <c r="AK44" s="29">
        <v>174767</v>
      </c>
      <c r="AL44" s="29">
        <v>135003</v>
      </c>
      <c r="AM44" s="29">
        <v>100599</v>
      </c>
      <c r="AN44" s="29">
        <v>106661</v>
      </c>
      <c r="AO44" s="29">
        <v>153745</v>
      </c>
      <c r="AP44" s="29">
        <v>113646</v>
      </c>
      <c r="AQ44" s="29">
        <v>122427</v>
      </c>
      <c r="AR44" s="29">
        <v>113979</v>
      </c>
      <c r="AS44" s="29">
        <v>162109</v>
      </c>
      <c r="AT44" s="29">
        <f t="shared" ref="AT44:BG44" si="26">SUM(AT45:AT46)</f>
        <v>134075</v>
      </c>
      <c r="AU44" s="29">
        <f t="shared" si="26"/>
        <v>128468</v>
      </c>
      <c r="AV44" s="29">
        <f t="shared" si="26"/>
        <v>154097</v>
      </c>
      <c r="AW44" s="29">
        <f t="shared" si="26"/>
        <v>211356</v>
      </c>
      <c r="AX44" s="29">
        <f t="shared" si="26"/>
        <v>167954.35</v>
      </c>
      <c r="AY44" s="29">
        <f t="shared" si="26"/>
        <v>154257.26999999999</v>
      </c>
      <c r="AZ44" s="29">
        <f t="shared" si="26"/>
        <v>136657.72000000003</v>
      </c>
      <c r="BA44" s="29">
        <f t="shared" si="26"/>
        <v>171529.77000000008</v>
      </c>
      <c r="BB44" s="29">
        <f t="shared" si="26"/>
        <v>125971.08000000002</v>
      </c>
      <c r="BC44" s="29">
        <f t="shared" si="26"/>
        <v>94984.22</v>
      </c>
      <c r="BD44" s="29">
        <f t="shared" si="26"/>
        <v>150450.69999999992</v>
      </c>
      <c r="BE44" s="29">
        <f t="shared" si="26"/>
        <v>166788.04000000004</v>
      </c>
      <c r="BF44" s="29">
        <f t="shared" si="26"/>
        <v>98670.300000000032</v>
      </c>
      <c r="BG44" s="29">
        <f t="shared" si="26"/>
        <v>122269.54000000005</v>
      </c>
      <c r="BH44" s="30">
        <v>96470</v>
      </c>
      <c r="BI44" s="30">
        <v>129070</v>
      </c>
      <c r="BJ44" s="30">
        <v>90439</v>
      </c>
      <c r="BK44" s="30">
        <v>53036</v>
      </c>
      <c r="BL44" s="30">
        <v>66986</v>
      </c>
      <c r="BM44" s="66">
        <v>81934</v>
      </c>
      <c r="BN44" s="66">
        <f>BN17</f>
        <v>73632.870000000039</v>
      </c>
      <c r="BO44" s="66">
        <f t="shared" ref="BO44:BQ44" si="27">BO17</f>
        <v>110647.41</v>
      </c>
      <c r="BP44" s="66">
        <f t="shared" si="27"/>
        <v>156337.03</v>
      </c>
      <c r="BQ44" s="66">
        <f t="shared" si="27"/>
        <v>206617.44999999995</v>
      </c>
      <c r="BR44" s="66">
        <v>189205</v>
      </c>
      <c r="BS44" s="66">
        <v>195951.15999999989</v>
      </c>
      <c r="BT44" s="66">
        <v>157360.99999999997</v>
      </c>
      <c r="BU44" s="66">
        <v>157441.93</v>
      </c>
      <c r="BV44" s="66">
        <f>192077</f>
        <v>192077</v>
      </c>
      <c r="BW44" s="66">
        <f>103678</f>
        <v>103678</v>
      </c>
      <c r="BX44" s="66">
        <f>175226</f>
        <v>175226</v>
      </c>
    </row>
    <row r="45" spans="1:76" x14ac:dyDescent="0.2">
      <c r="A45" s="22" t="s">
        <v>92</v>
      </c>
      <c r="B45" s="7" t="s">
        <v>38</v>
      </c>
      <c r="C45" s="21"/>
      <c r="D45" s="21"/>
      <c r="E45" s="21"/>
      <c r="F45" s="21"/>
      <c r="G45" s="21"/>
      <c r="H45" s="21"/>
      <c r="I45" s="21"/>
      <c r="J45" s="21">
        <f t="shared" si="21"/>
        <v>303334</v>
      </c>
      <c r="K45" s="21">
        <f t="shared" si="22"/>
        <v>302559.66000000003</v>
      </c>
      <c r="L45" s="21">
        <f>SUM(BB45:BE45)</f>
        <v>272421.21999999997</v>
      </c>
      <c r="M45" s="21">
        <f>SUM(BF45:BI45)</f>
        <v>237411.64000000007</v>
      </c>
      <c r="N45" s="21">
        <f t="shared" si="10"/>
        <v>121371</v>
      </c>
      <c r="O45" s="21">
        <f t="shared" si="24"/>
        <v>210598.25999999995</v>
      </c>
      <c r="P45" s="21">
        <f t="shared" si="25"/>
        <v>248514</v>
      </c>
      <c r="Q45" s="9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112">
        <v>59469</v>
      </c>
      <c r="AU45" s="112">
        <v>60065</v>
      </c>
      <c r="AV45" s="112">
        <v>77106</v>
      </c>
      <c r="AW45" s="112">
        <v>106694</v>
      </c>
      <c r="AX45" s="112">
        <v>86148.08</v>
      </c>
      <c r="AY45" s="112">
        <v>75252.180000000022</v>
      </c>
      <c r="AZ45" s="112">
        <v>71074.990000000005</v>
      </c>
      <c r="BA45" s="112">
        <v>70084.410000000033</v>
      </c>
      <c r="BB45" s="112">
        <v>59171.260000000038</v>
      </c>
      <c r="BC45" s="112">
        <v>46766.600000000006</v>
      </c>
      <c r="BD45" s="112">
        <v>80013.769999999946</v>
      </c>
      <c r="BE45" s="112">
        <v>86469.59</v>
      </c>
      <c r="BF45" s="34">
        <v>51765.600000000035</v>
      </c>
      <c r="BG45" s="34">
        <v>79351.850000000049</v>
      </c>
      <c r="BH45" s="20">
        <v>49444.9</v>
      </c>
      <c r="BI45" s="20">
        <v>56849.29</v>
      </c>
      <c r="BJ45" s="20">
        <v>42536</v>
      </c>
      <c r="BK45" s="20">
        <v>25114</v>
      </c>
      <c r="BL45" s="20">
        <v>25228</v>
      </c>
      <c r="BM45" s="65">
        <v>28493</v>
      </c>
      <c r="BN45" s="20">
        <v>29529.599999999999</v>
      </c>
      <c r="BO45" s="20">
        <v>40979.620000000003</v>
      </c>
      <c r="BP45" s="20">
        <v>60858.509999999987</v>
      </c>
      <c r="BQ45" s="20">
        <v>79230.529999999984</v>
      </c>
      <c r="BR45" s="20">
        <v>89179</v>
      </c>
      <c r="BS45" s="20">
        <v>58272</v>
      </c>
      <c r="BT45" s="20">
        <v>55445</v>
      </c>
      <c r="BU45" s="20">
        <v>45618</v>
      </c>
      <c r="BV45" s="20">
        <f>89392</f>
        <v>89392</v>
      </c>
      <c r="BW45" s="20">
        <f>32467</f>
        <v>32467</v>
      </c>
      <c r="BX45" s="20">
        <f>94067</f>
        <v>94067</v>
      </c>
    </row>
    <row r="46" spans="1:76" x14ac:dyDescent="0.2">
      <c r="A46" s="22" t="s">
        <v>93</v>
      </c>
      <c r="B46" s="7" t="s">
        <v>38</v>
      </c>
      <c r="C46" s="21"/>
      <c r="D46" s="21"/>
      <c r="E46" s="21"/>
      <c r="F46" s="21"/>
      <c r="G46" s="21"/>
      <c r="H46" s="21"/>
      <c r="I46" s="21"/>
      <c r="J46" s="21">
        <f t="shared" si="21"/>
        <v>324662</v>
      </c>
      <c r="K46" s="21">
        <f t="shared" si="22"/>
        <v>327839.45000000007</v>
      </c>
      <c r="L46" s="21">
        <f>SUM(BB46:BE46)</f>
        <v>265772.81999999995</v>
      </c>
      <c r="M46" s="21">
        <f>SUM(BF46:BI46)</f>
        <v>209068.39</v>
      </c>
      <c r="N46" s="21">
        <f t="shared" si="10"/>
        <v>120619</v>
      </c>
      <c r="O46" s="21">
        <f t="shared" si="24"/>
        <v>148232.03</v>
      </c>
      <c r="P46" s="21">
        <f t="shared" si="25"/>
        <v>250849.21999999997</v>
      </c>
      <c r="Q46" s="9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112">
        <v>74606</v>
      </c>
      <c r="AU46" s="112">
        <v>68403</v>
      </c>
      <c r="AV46" s="112">
        <v>76991</v>
      </c>
      <c r="AW46" s="112">
        <v>104662</v>
      </c>
      <c r="AX46" s="112">
        <v>81806.27</v>
      </c>
      <c r="AY46" s="112">
        <v>79005.089999999967</v>
      </c>
      <c r="AZ46" s="112">
        <v>65582.73000000001</v>
      </c>
      <c r="BA46" s="112">
        <v>101445.36000000004</v>
      </c>
      <c r="BB46" s="112">
        <v>66799.819999999978</v>
      </c>
      <c r="BC46" s="112">
        <v>48217.619999999995</v>
      </c>
      <c r="BD46" s="112">
        <v>70436.929999999978</v>
      </c>
      <c r="BE46" s="112">
        <v>80318.450000000026</v>
      </c>
      <c r="BF46" s="34">
        <v>46904.7</v>
      </c>
      <c r="BG46" s="34">
        <v>42917.69</v>
      </c>
      <c r="BH46" s="20">
        <v>47026</v>
      </c>
      <c r="BI46" s="20">
        <v>72220</v>
      </c>
      <c r="BJ46" s="20">
        <v>47903</v>
      </c>
      <c r="BK46" s="20">
        <v>23413</v>
      </c>
      <c r="BL46" s="20">
        <v>23769</v>
      </c>
      <c r="BM46" s="65">
        <v>25534</v>
      </c>
      <c r="BN46" s="20">
        <v>18949.059999999998</v>
      </c>
      <c r="BO46" s="20">
        <v>34151.409999999996</v>
      </c>
      <c r="BP46" s="20">
        <v>40464.200000000004</v>
      </c>
      <c r="BQ46" s="20">
        <v>54667.360000000001</v>
      </c>
      <c r="BR46" s="20">
        <v>48654.859999999993</v>
      </c>
      <c r="BS46" s="20">
        <v>72584.56</v>
      </c>
      <c r="BT46" s="20">
        <v>54977.8</v>
      </c>
      <c r="BU46" s="20">
        <v>74632.000000000015</v>
      </c>
      <c r="BV46" s="20">
        <f>63817</f>
        <v>63817</v>
      </c>
      <c r="BW46" s="20">
        <f>38401</f>
        <v>38401</v>
      </c>
      <c r="BX46" s="20">
        <f>49838</f>
        <v>49838</v>
      </c>
    </row>
    <row r="47" spans="1:76" x14ac:dyDescent="0.2">
      <c r="A47" s="22" t="s">
        <v>304</v>
      </c>
      <c r="B47" s="7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>
        <f>SUM(BJ47:BM47)</f>
        <v>50405</v>
      </c>
      <c r="O47" s="21">
        <f t="shared" si="24"/>
        <v>188350.37</v>
      </c>
      <c r="P47" s="21">
        <f>SUM(BR47:BU47)</f>
        <v>200596.29</v>
      </c>
      <c r="Q47" s="9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34"/>
      <c r="BG47" s="34"/>
      <c r="BH47" s="20"/>
      <c r="BI47" s="20"/>
      <c r="BJ47" s="20"/>
      <c r="BK47" s="20">
        <v>4509</v>
      </c>
      <c r="BL47" s="20">
        <v>17989</v>
      </c>
      <c r="BM47" s="20">
        <v>27907</v>
      </c>
      <c r="BN47" s="20">
        <v>25154.21</v>
      </c>
      <c r="BO47" s="20">
        <v>35503.880000000005</v>
      </c>
      <c r="BP47" s="20">
        <v>54972.719999999987</v>
      </c>
      <c r="BQ47" s="20">
        <v>72719.559999999983</v>
      </c>
      <c r="BR47" s="20">
        <v>51370.71</v>
      </c>
      <c r="BS47" s="20">
        <v>65094.930000000008</v>
      </c>
      <c r="BT47" s="20">
        <v>46938.42</v>
      </c>
      <c r="BU47" s="20">
        <v>37192.23000000001</v>
      </c>
      <c r="BV47" s="20">
        <f>38868</f>
        <v>38868</v>
      </c>
      <c r="BW47" s="20">
        <f>32810</f>
        <v>32810</v>
      </c>
      <c r="BX47" s="20">
        <f>31320</f>
        <v>31320</v>
      </c>
    </row>
    <row r="48" spans="1:76" x14ac:dyDescent="0.2">
      <c r="A48" s="28" t="s">
        <v>39</v>
      </c>
      <c r="B48" s="7" t="s">
        <v>38</v>
      </c>
      <c r="C48" s="29">
        <v>328435</v>
      </c>
      <c r="D48" s="29">
        <v>363120</v>
      </c>
      <c r="E48" s="29">
        <v>468248</v>
      </c>
      <c r="F48" s="29">
        <v>583483</v>
      </c>
      <c r="G48" s="29">
        <v>502203</v>
      </c>
      <c r="H48" s="29">
        <v>420325</v>
      </c>
      <c r="I48" s="29">
        <f>SUM(AP48:AS48)</f>
        <v>422946</v>
      </c>
      <c r="J48" s="29">
        <f t="shared" si="21"/>
        <v>479339</v>
      </c>
      <c r="K48" s="29">
        <f t="shared" si="22"/>
        <v>621866.93999999994</v>
      </c>
      <c r="L48" s="29">
        <f t="shared" si="23"/>
        <v>540325.10000000009</v>
      </c>
      <c r="M48" s="29">
        <f>SUM(BF48:BI48)</f>
        <v>421209.4</v>
      </c>
      <c r="N48" s="29">
        <f t="shared" si="10"/>
        <v>734773</v>
      </c>
      <c r="O48" s="29">
        <f t="shared" si="24"/>
        <v>416726.2</v>
      </c>
      <c r="P48" s="29">
        <f t="shared" si="25"/>
        <v>161232</v>
      </c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>
        <v>0</v>
      </c>
      <c r="AQ48" s="29">
        <v>107796.6</v>
      </c>
      <c r="AR48" s="29">
        <v>19771.7</v>
      </c>
      <c r="AS48" s="29">
        <v>295377.7</v>
      </c>
      <c r="AT48" s="29">
        <v>0</v>
      </c>
      <c r="AU48" s="29">
        <v>0</v>
      </c>
      <c r="AV48" s="30">
        <f t="shared" ref="AV48:BG48" si="28">SUM(AV49:AV50)</f>
        <v>56270</v>
      </c>
      <c r="AW48" s="30">
        <f t="shared" si="28"/>
        <v>423069</v>
      </c>
      <c r="AX48" s="30">
        <f t="shared" si="28"/>
        <v>34538.639999999999</v>
      </c>
      <c r="AY48" s="30">
        <f t="shared" si="28"/>
        <v>211804.59999999998</v>
      </c>
      <c r="AZ48" s="30">
        <f t="shared" si="28"/>
        <v>67230.100000000006</v>
      </c>
      <c r="BA48" s="30">
        <f t="shared" si="28"/>
        <v>308293.60000000003</v>
      </c>
      <c r="BB48" s="30">
        <f t="shared" si="28"/>
        <v>88512.6</v>
      </c>
      <c r="BC48" s="30">
        <f t="shared" si="28"/>
        <v>88846.8</v>
      </c>
      <c r="BD48" s="30">
        <f t="shared" si="28"/>
        <v>15569.7</v>
      </c>
      <c r="BE48" s="30">
        <f t="shared" si="28"/>
        <v>347396</v>
      </c>
      <c r="BF48" s="30">
        <f t="shared" si="28"/>
        <v>3028.4</v>
      </c>
      <c r="BG48" s="30">
        <f t="shared" si="28"/>
        <v>0</v>
      </c>
      <c r="BH48" s="30">
        <v>181071</v>
      </c>
      <c r="BI48" s="30">
        <v>237110</v>
      </c>
      <c r="BJ48" s="30">
        <v>175693</v>
      </c>
      <c r="BK48" s="30">
        <v>58981</v>
      </c>
      <c r="BL48" s="30">
        <v>91295</v>
      </c>
      <c r="BM48" s="66">
        <v>408804</v>
      </c>
      <c r="BN48" s="66">
        <f>BN18</f>
        <v>88068.2</v>
      </c>
      <c r="BO48" s="66">
        <f t="shared" ref="BO48:BQ48" si="29">BO18</f>
        <v>107671.70000000001</v>
      </c>
      <c r="BP48" s="66">
        <f t="shared" si="29"/>
        <v>43235.3</v>
      </c>
      <c r="BQ48" s="66">
        <f t="shared" si="29"/>
        <v>177751</v>
      </c>
      <c r="BR48" s="66">
        <v>0</v>
      </c>
      <c r="BS48" s="66">
        <v>50919</v>
      </c>
      <c r="BT48" s="66">
        <f>35495</f>
        <v>35495</v>
      </c>
      <c r="BU48" s="66">
        <f>74818</f>
        <v>74818</v>
      </c>
      <c r="BV48" s="66">
        <f>73153</f>
        <v>73153</v>
      </c>
      <c r="BW48" s="66">
        <f>90700</f>
        <v>90700</v>
      </c>
      <c r="BX48" s="66">
        <f>149778</f>
        <v>149778</v>
      </c>
    </row>
    <row r="49" spans="1:76" x14ac:dyDescent="0.2">
      <c r="A49" s="22" t="s">
        <v>92</v>
      </c>
      <c r="B49" s="7" t="s">
        <v>38</v>
      </c>
      <c r="C49" s="21"/>
      <c r="D49" s="21"/>
      <c r="E49" s="21"/>
      <c r="F49" s="21"/>
      <c r="G49" s="21"/>
      <c r="H49" s="21"/>
      <c r="I49" s="21"/>
      <c r="J49" s="21">
        <f t="shared" si="21"/>
        <v>225798</v>
      </c>
      <c r="K49" s="21">
        <f t="shared" si="22"/>
        <v>353129.14</v>
      </c>
      <c r="L49" s="21">
        <f t="shared" si="23"/>
        <v>193424.6</v>
      </c>
      <c r="M49" s="21">
        <f t="shared" ref="M49" si="30">SUM(BF49:BI49)</f>
        <v>176067.4</v>
      </c>
      <c r="N49" s="21">
        <f t="shared" si="10"/>
        <v>343972</v>
      </c>
      <c r="O49" s="21">
        <f t="shared" si="24"/>
        <v>205627</v>
      </c>
      <c r="P49" s="21">
        <f t="shared" si="25"/>
        <v>24271</v>
      </c>
      <c r="Q49" s="9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112" t="s">
        <v>94</v>
      </c>
      <c r="AU49" s="112" t="s">
        <v>94</v>
      </c>
      <c r="AV49" s="112">
        <v>0</v>
      </c>
      <c r="AW49" s="112">
        <v>225798</v>
      </c>
      <c r="AX49" s="112">
        <v>34538.639999999999</v>
      </c>
      <c r="AY49" s="112">
        <v>211804.59999999998</v>
      </c>
      <c r="AZ49" s="112">
        <v>4304.3999999999996</v>
      </c>
      <c r="BA49" s="112">
        <v>102481.50000000001</v>
      </c>
      <c r="BB49" s="112">
        <v>88512.6</v>
      </c>
      <c r="BC49" s="112">
        <v>15375.300000000001</v>
      </c>
      <c r="BD49" s="112">
        <v>15569.7</v>
      </c>
      <c r="BE49" s="112">
        <v>73967</v>
      </c>
      <c r="BF49" s="112">
        <v>3028.4</v>
      </c>
      <c r="BG49" s="112">
        <v>0</v>
      </c>
      <c r="BH49" s="112">
        <v>87161</v>
      </c>
      <c r="BI49" s="112">
        <v>85878</v>
      </c>
      <c r="BJ49" s="112">
        <v>175693</v>
      </c>
      <c r="BK49" s="112">
        <v>18203</v>
      </c>
      <c r="BL49" s="112">
        <v>56250</v>
      </c>
      <c r="BM49" s="112">
        <v>93826</v>
      </c>
      <c r="BN49" s="112">
        <v>0</v>
      </c>
      <c r="BO49" s="112">
        <v>48729.599999999999</v>
      </c>
      <c r="BP49" s="112">
        <v>18036.7</v>
      </c>
      <c r="BQ49" s="112">
        <v>138860.70000000001</v>
      </c>
      <c r="BR49" s="112">
        <v>0</v>
      </c>
      <c r="BS49" s="112">
        <v>0</v>
      </c>
      <c r="BT49" s="112">
        <f>0</f>
        <v>0</v>
      </c>
      <c r="BU49" s="112">
        <f>24271</f>
        <v>24271</v>
      </c>
      <c r="BV49" s="112">
        <f>38036</f>
        <v>38036</v>
      </c>
      <c r="BW49" s="112">
        <f>17678</f>
        <v>17678</v>
      </c>
      <c r="BX49" s="112">
        <f>13232</f>
        <v>13232</v>
      </c>
    </row>
    <row r="50" spans="1:76" x14ac:dyDescent="0.2">
      <c r="A50" s="22" t="s">
        <v>93</v>
      </c>
      <c r="B50" s="7" t="s">
        <v>38</v>
      </c>
      <c r="C50" s="21"/>
      <c r="D50" s="21"/>
      <c r="E50" s="21"/>
      <c r="F50" s="21"/>
      <c r="G50" s="21"/>
      <c r="H50" s="21"/>
      <c r="I50" s="21"/>
      <c r="J50" s="21">
        <f t="shared" si="21"/>
        <v>253541</v>
      </c>
      <c r="K50" s="21">
        <f t="shared" si="22"/>
        <v>268737.8</v>
      </c>
      <c r="L50" s="21">
        <f t="shared" si="23"/>
        <v>346900.5</v>
      </c>
      <c r="M50" s="21">
        <f>SUM(BF50:BI50)</f>
        <v>245141.2</v>
      </c>
      <c r="N50" s="21">
        <f t="shared" si="10"/>
        <v>337579</v>
      </c>
      <c r="O50" s="21">
        <f t="shared" si="24"/>
        <v>140581.4</v>
      </c>
      <c r="P50" s="21">
        <f t="shared" si="25"/>
        <v>73819</v>
      </c>
      <c r="Q50" s="9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112" t="s">
        <v>94</v>
      </c>
      <c r="AU50" s="112" t="s">
        <v>94</v>
      </c>
      <c r="AV50" s="112">
        <v>56270</v>
      </c>
      <c r="AW50" s="112">
        <v>197271</v>
      </c>
      <c r="AX50" s="112">
        <v>0</v>
      </c>
      <c r="AY50" s="112">
        <v>0</v>
      </c>
      <c r="AZ50" s="112">
        <v>62925.700000000004</v>
      </c>
      <c r="BA50" s="112">
        <v>205812.1</v>
      </c>
      <c r="BB50" s="112">
        <v>0</v>
      </c>
      <c r="BC50" s="112">
        <v>73471.5</v>
      </c>
      <c r="BD50" s="112">
        <v>0</v>
      </c>
      <c r="BE50" s="112">
        <v>273429</v>
      </c>
      <c r="BF50" s="112" t="s">
        <v>94</v>
      </c>
      <c r="BG50" s="112">
        <v>0</v>
      </c>
      <c r="BH50" s="112">
        <v>93909.6</v>
      </c>
      <c r="BI50" s="112">
        <v>151231.6</v>
      </c>
      <c r="BJ50" s="112">
        <v>0</v>
      </c>
      <c r="BK50" s="112">
        <v>40778</v>
      </c>
      <c r="BL50" s="112">
        <v>9849</v>
      </c>
      <c r="BM50" s="112">
        <v>286952</v>
      </c>
      <c r="BN50" s="112">
        <v>78583.5</v>
      </c>
      <c r="BO50" s="112">
        <v>58942.1</v>
      </c>
      <c r="BP50" s="112">
        <v>0</v>
      </c>
      <c r="BQ50" s="112">
        <v>3055.8</v>
      </c>
      <c r="BR50" s="112">
        <v>0</v>
      </c>
      <c r="BS50" s="112">
        <v>50919</v>
      </c>
      <c r="BT50" s="112">
        <f>0</f>
        <v>0</v>
      </c>
      <c r="BU50" s="112">
        <f>22900</f>
        <v>22900</v>
      </c>
      <c r="BV50" s="112">
        <f>0</f>
        <v>0</v>
      </c>
      <c r="BW50" s="112">
        <f>35975</f>
        <v>35975</v>
      </c>
      <c r="BX50" s="112">
        <f>0</f>
        <v>0</v>
      </c>
    </row>
    <row r="51" spans="1:76" x14ac:dyDescent="0.2">
      <c r="A51" s="170" t="s">
        <v>304</v>
      </c>
      <c r="B51" s="16" t="s">
        <v>38</v>
      </c>
      <c r="C51" s="67"/>
      <c r="D51" s="67"/>
      <c r="E51" s="67"/>
      <c r="F51" s="67"/>
      <c r="G51" s="67"/>
      <c r="H51" s="67"/>
      <c r="I51" s="67"/>
      <c r="J51" s="31"/>
      <c r="K51" s="31"/>
      <c r="L51" s="31"/>
      <c r="M51" s="31"/>
      <c r="N51" s="67">
        <f>SUM(BJ51:BM51)</f>
        <v>53223</v>
      </c>
      <c r="O51" s="67">
        <f t="shared" si="24"/>
        <v>70517.5</v>
      </c>
      <c r="P51" s="67">
        <f t="shared" si="25"/>
        <v>63142</v>
      </c>
      <c r="Q51" s="9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113"/>
      <c r="BG51" s="113"/>
      <c r="BH51" s="113"/>
      <c r="BI51" s="113"/>
      <c r="BJ51" s="113"/>
      <c r="BK51" s="113"/>
      <c r="BL51" s="113">
        <v>34279</v>
      </c>
      <c r="BM51" s="113">
        <v>18944</v>
      </c>
      <c r="BN51" s="113">
        <v>9484.7000000000007</v>
      </c>
      <c r="BO51" s="113">
        <v>0</v>
      </c>
      <c r="BP51" s="113">
        <v>25198.6</v>
      </c>
      <c r="BQ51" s="113">
        <v>35834.199999999997</v>
      </c>
      <c r="BR51" s="113">
        <v>0</v>
      </c>
      <c r="BS51" s="113">
        <v>0</v>
      </c>
      <c r="BT51" s="113">
        <f>35495</f>
        <v>35495</v>
      </c>
      <c r="BU51" s="113">
        <f>27647</f>
        <v>27647</v>
      </c>
      <c r="BV51" s="113">
        <f>35117</f>
        <v>35117</v>
      </c>
      <c r="BW51" s="113">
        <f>37048</f>
        <v>37048</v>
      </c>
      <c r="BX51" s="113">
        <f>136546</f>
        <v>136546</v>
      </c>
    </row>
  </sheetData>
  <phoneticPr fontId="33" type="noConversion"/>
  <hyperlinks>
    <hyperlink ref="A3" location="Contents!A1" display="Back to Contents" xr:uid="{0D9EF48F-EEBA-48BF-871E-6740388855EA}"/>
    <hyperlink ref="A22" location="Contents!A1" display="Back to Contents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S61"/>
  <sheetViews>
    <sheetView showGridLines="0" zoomScaleNormal="100" workbookViewId="0">
      <pane xSplit="1" topLeftCell="AE1" activePane="topRight" state="frozen"/>
      <selection pane="topRight" activeCell="AS18" sqref="AS18"/>
    </sheetView>
  </sheetViews>
  <sheetFormatPr defaultColWidth="9.140625" defaultRowHeight="14.25" outlineLevelRow="1" outlineLevelCol="1" x14ac:dyDescent="0.2"/>
  <cols>
    <col min="1" max="1" width="54.85546875" style="41" customWidth="1"/>
    <col min="2" max="15" width="9.28515625" style="6" bestFit="1" customWidth="1"/>
    <col min="16" max="16" width="9.140625" style="6"/>
    <col min="17" max="38" width="9.140625" style="6" customWidth="1" outlineLevel="1"/>
    <col min="39" max="42" width="9.28515625" style="6" bestFit="1" customWidth="1" outlineLevel="1"/>
    <col min="43" max="43" width="9.140625" style="41" outlineLevel="1"/>
    <col min="44" max="44" width="8.28515625" style="41" bestFit="1" customWidth="1" outlineLevel="1"/>
    <col min="45" max="45" width="9.140625" style="41" outlineLevel="1"/>
    <col min="46" max="16384" width="9.140625" style="41"/>
  </cols>
  <sheetData>
    <row r="2" spans="1:45" ht="18" x14ac:dyDescent="0.25">
      <c r="A2" s="54" t="s">
        <v>115</v>
      </c>
    </row>
    <row r="3" spans="1:45" x14ac:dyDescent="0.2">
      <c r="A3" s="35" t="s">
        <v>1</v>
      </c>
    </row>
    <row r="5" spans="1:45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5"/>
      <c r="Q5" s="74" t="s">
        <v>116</v>
      </c>
      <c r="R5" s="74" t="s">
        <v>117</v>
      </c>
      <c r="S5" s="74" t="s">
        <v>118</v>
      </c>
      <c r="T5" s="74" t="s">
        <v>119</v>
      </c>
      <c r="U5" s="74" t="s">
        <v>120</v>
      </c>
      <c r="V5" s="74" t="s">
        <v>121</v>
      </c>
      <c r="W5" s="74" t="s">
        <v>122</v>
      </c>
      <c r="X5" s="74" t="s">
        <v>123</v>
      </c>
      <c r="Y5" s="74" t="s">
        <v>124</v>
      </c>
      <c r="Z5" s="74" t="s">
        <v>125</v>
      </c>
      <c r="AA5" s="74" t="s">
        <v>126</v>
      </c>
      <c r="AB5" s="74" t="s">
        <v>127</v>
      </c>
      <c r="AC5" s="74" t="s">
        <v>128</v>
      </c>
      <c r="AD5" s="74" t="s">
        <v>129</v>
      </c>
      <c r="AE5" s="74" t="s">
        <v>130</v>
      </c>
      <c r="AF5" s="74" t="s">
        <v>131</v>
      </c>
      <c r="AG5" s="74" t="s">
        <v>132</v>
      </c>
      <c r="AH5" s="74" t="s">
        <v>133</v>
      </c>
      <c r="AI5" s="74" t="s">
        <v>134</v>
      </c>
      <c r="AJ5" s="74" t="s">
        <v>135</v>
      </c>
      <c r="AK5" s="90" t="s">
        <v>291</v>
      </c>
      <c r="AL5" s="90" t="s">
        <v>293</v>
      </c>
      <c r="AM5" s="90" t="s">
        <v>306</v>
      </c>
      <c r="AN5" s="90" t="s">
        <v>311</v>
      </c>
      <c r="AO5" s="90" t="s">
        <v>395</v>
      </c>
      <c r="AP5" s="90" t="s">
        <v>403</v>
      </c>
      <c r="AQ5" s="90" t="s">
        <v>425</v>
      </c>
      <c r="AR5" s="90" t="s">
        <v>429</v>
      </c>
      <c r="AS5" s="90" t="s">
        <v>482</v>
      </c>
    </row>
    <row r="6" spans="1:45" hidden="1" outlineLevel="1" x14ac:dyDescent="0.2">
      <c r="A6" s="6" t="s">
        <v>136</v>
      </c>
      <c r="B6" s="34">
        <f t="shared" ref="B6:B44" si="0">SUM(Q6:R6)</f>
        <v>19359</v>
      </c>
      <c r="C6" s="34">
        <f t="shared" ref="C6:C44" si="1">SUM(S6:T6)</f>
        <v>19424</v>
      </c>
      <c r="D6" s="34">
        <f t="shared" ref="D6:D44" si="2">SUM(U6:V6)</f>
        <v>29548</v>
      </c>
      <c r="E6" s="34">
        <f t="shared" ref="E6:E44" si="3">SUM(W6:X6)</f>
        <v>37560</v>
      </c>
      <c r="F6" s="34">
        <f t="shared" ref="F6:F44" si="4">SUM(Y6:Z6)</f>
        <v>32474</v>
      </c>
      <c r="G6" s="34">
        <f t="shared" ref="G6:G44" si="5">SUM(AA6:AB6)</f>
        <v>33499</v>
      </c>
      <c r="H6" s="34">
        <f t="shared" ref="H6:H44" si="6">SUM(AC6:AD6)</f>
        <v>54964</v>
      </c>
      <c r="I6" s="34">
        <f t="shared" ref="I6:I44" si="7">SUM(AE6:AF6)</f>
        <v>58072</v>
      </c>
      <c r="J6" s="34">
        <f t="shared" ref="J6:J44" si="8">SUM(AG6:AH6)</f>
        <v>62609</v>
      </c>
      <c r="K6" s="34">
        <f>SUM(AI6:AJ6)</f>
        <v>51801</v>
      </c>
      <c r="L6" s="34">
        <f>SUM(AK6:AL6)</f>
        <v>53384</v>
      </c>
      <c r="M6" s="34"/>
      <c r="N6" s="34"/>
      <c r="O6" s="34"/>
      <c r="Q6" s="34">
        <v>8147</v>
      </c>
      <c r="R6" s="34">
        <v>11212</v>
      </c>
      <c r="S6" s="34">
        <v>8329</v>
      </c>
      <c r="T6" s="34">
        <v>11095</v>
      </c>
      <c r="U6" s="34">
        <v>12249</v>
      </c>
      <c r="V6" s="34">
        <v>17299</v>
      </c>
      <c r="W6" s="34">
        <v>8873</v>
      </c>
      <c r="X6" s="34">
        <v>28687</v>
      </c>
      <c r="Y6" s="34">
        <v>13857</v>
      </c>
      <c r="Z6" s="34">
        <v>18617</v>
      </c>
      <c r="AA6" s="34">
        <v>11828</v>
      </c>
      <c r="AB6" s="34">
        <v>21671</v>
      </c>
      <c r="AC6" s="34">
        <v>21941</v>
      </c>
      <c r="AD6" s="34">
        <v>33023</v>
      </c>
      <c r="AE6" s="34">
        <v>17762</v>
      </c>
      <c r="AF6" s="34">
        <v>40310</v>
      </c>
      <c r="AG6" s="34">
        <v>30229</v>
      </c>
      <c r="AH6" s="34">
        <v>32380</v>
      </c>
      <c r="AI6" s="34">
        <v>20873</v>
      </c>
      <c r="AJ6" s="34">
        <v>30928</v>
      </c>
      <c r="AK6" s="34">
        <v>23120</v>
      </c>
      <c r="AL6" s="34">
        <v>30264</v>
      </c>
      <c r="AM6" s="34"/>
      <c r="AN6" s="34"/>
      <c r="AO6" s="34"/>
      <c r="AP6" s="34"/>
      <c r="AQ6" s="34"/>
      <c r="AR6" s="34"/>
      <c r="AS6" s="34"/>
    </row>
    <row r="7" spans="1:45" hidden="1" outlineLevel="1" x14ac:dyDescent="0.2">
      <c r="A7" s="6" t="s">
        <v>137</v>
      </c>
      <c r="B7" s="34">
        <f t="shared" si="0"/>
        <v>0</v>
      </c>
      <c r="C7" s="34">
        <f t="shared" si="1"/>
        <v>0</v>
      </c>
      <c r="D7" s="34">
        <f t="shared" si="2"/>
        <v>0</v>
      </c>
      <c r="E7" s="34">
        <f t="shared" si="3"/>
        <v>0</v>
      </c>
      <c r="F7" s="34">
        <f t="shared" si="4"/>
        <v>0</v>
      </c>
      <c r="G7" s="34">
        <f t="shared" si="5"/>
        <v>0</v>
      </c>
      <c r="H7" s="34">
        <f t="shared" si="6"/>
        <v>0</v>
      </c>
      <c r="I7" s="34">
        <f t="shared" si="7"/>
        <v>0</v>
      </c>
      <c r="J7" s="34">
        <f t="shared" si="8"/>
        <v>10875</v>
      </c>
      <c r="K7" s="34">
        <f t="shared" ref="K7:K44" si="9">SUM(AI7:AJ7)</f>
        <v>18675</v>
      </c>
      <c r="L7" s="34">
        <f t="shared" ref="L7:L44" si="10">SUM(AK7:AL7)</f>
        <v>21885</v>
      </c>
      <c r="M7" s="34"/>
      <c r="N7" s="34"/>
      <c r="O7" s="34"/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3686</v>
      </c>
      <c r="AH7" s="34">
        <v>7189</v>
      </c>
      <c r="AI7" s="34">
        <v>5975</v>
      </c>
      <c r="AJ7" s="34">
        <v>12700</v>
      </c>
      <c r="AK7" s="34">
        <v>10022</v>
      </c>
      <c r="AL7" s="34">
        <v>11863</v>
      </c>
      <c r="AM7" s="34"/>
      <c r="AN7" s="34"/>
      <c r="AO7" s="34"/>
      <c r="AP7" s="34"/>
      <c r="AQ7" s="34"/>
      <c r="AR7" s="34"/>
      <c r="AS7" s="34"/>
    </row>
    <row r="8" spans="1:45" hidden="1" outlineLevel="1" x14ac:dyDescent="0.2">
      <c r="A8" s="6" t="s">
        <v>138</v>
      </c>
      <c r="B8" s="34">
        <f t="shared" si="0"/>
        <v>3382</v>
      </c>
      <c r="C8" s="34">
        <f t="shared" si="1"/>
        <v>7470</v>
      </c>
      <c r="D8" s="34">
        <f t="shared" si="2"/>
        <v>10373</v>
      </c>
      <c r="E8" s="34">
        <f t="shared" si="3"/>
        <v>13921</v>
      </c>
      <c r="F8" s="34">
        <f t="shared" si="4"/>
        <v>9930</v>
      </c>
      <c r="G8" s="34">
        <f t="shared" si="5"/>
        <v>15523</v>
      </c>
      <c r="H8" s="34">
        <f t="shared" si="6"/>
        <v>15681</v>
      </c>
      <c r="I8" s="34">
        <f t="shared" si="7"/>
        <v>14255</v>
      </c>
      <c r="J8" s="34">
        <f t="shared" si="8"/>
        <v>10846</v>
      </c>
      <c r="K8" s="34">
        <f t="shared" si="9"/>
        <v>8179</v>
      </c>
      <c r="L8" s="34">
        <f t="shared" si="10"/>
        <v>11869</v>
      </c>
      <c r="M8" s="34"/>
      <c r="N8" s="34"/>
      <c r="O8" s="34"/>
      <c r="Q8" s="34">
        <v>1265</v>
      </c>
      <c r="R8" s="34">
        <v>2117</v>
      </c>
      <c r="S8" s="34">
        <v>3828</v>
      </c>
      <c r="T8" s="34">
        <v>3642</v>
      </c>
      <c r="U8" s="34">
        <v>4386</v>
      </c>
      <c r="V8" s="34">
        <v>5987</v>
      </c>
      <c r="W8" s="34">
        <v>5666</v>
      </c>
      <c r="X8" s="34">
        <v>8255</v>
      </c>
      <c r="Y8" s="34">
        <v>4291</v>
      </c>
      <c r="Z8" s="34">
        <v>5639</v>
      </c>
      <c r="AA8" s="34">
        <v>7914</v>
      </c>
      <c r="AB8" s="34">
        <v>7609</v>
      </c>
      <c r="AC8" s="34">
        <v>7075</v>
      </c>
      <c r="AD8" s="34">
        <v>8606</v>
      </c>
      <c r="AE8" s="34">
        <v>6937</v>
      </c>
      <c r="AF8" s="34">
        <v>7318</v>
      </c>
      <c r="AG8" s="34">
        <v>5647</v>
      </c>
      <c r="AH8" s="34">
        <v>5199</v>
      </c>
      <c r="AI8" s="34">
        <v>4020</v>
      </c>
      <c r="AJ8" s="34">
        <v>4159</v>
      </c>
      <c r="AK8" s="34">
        <v>6742</v>
      </c>
      <c r="AL8" s="34">
        <v>5127</v>
      </c>
      <c r="AM8" s="34"/>
      <c r="AN8" s="34"/>
      <c r="AO8" s="34"/>
      <c r="AP8" s="34"/>
      <c r="AQ8" s="34"/>
      <c r="AR8" s="34"/>
      <c r="AS8" s="34"/>
    </row>
    <row r="9" spans="1:45" collapsed="1" x14ac:dyDescent="0.2">
      <c r="A9" s="37" t="s">
        <v>139</v>
      </c>
      <c r="B9" s="78">
        <f t="shared" si="0"/>
        <v>22741</v>
      </c>
      <c r="C9" s="78">
        <f t="shared" si="1"/>
        <v>26894</v>
      </c>
      <c r="D9" s="78">
        <f t="shared" si="2"/>
        <v>39921</v>
      </c>
      <c r="E9" s="78">
        <f t="shared" si="3"/>
        <v>51481</v>
      </c>
      <c r="F9" s="78">
        <f t="shared" si="4"/>
        <v>42404</v>
      </c>
      <c r="G9" s="78">
        <f t="shared" si="5"/>
        <v>49022</v>
      </c>
      <c r="H9" s="78">
        <f t="shared" si="6"/>
        <v>70645</v>
      </c>
      <c r="I9" s="78">
        <f t="shared" si="7"/>
        <v>72327</v>
      </c>
      <c r="J9" s="78">
        <f t="shared" si="8"/>
        <v>84330</v>
      </c>
      <c r="K9" s="78">
        <f t="shared" si="9"/>
        <v>78655</v>
      </c>
      <c r="L9" s="78">
        <f t="shared" si="10"/>
        <v>87138</v>
      </c>
      <c r="M9" s="78">
        <f>SUM(AM9:AN9)</f>
        <v>80556</v>
      </c>
      <c r="N9" s="78">
        <f>90652</f>
        <v>90652</v>
      </c>
      <c r="O9" s="78">
        <f>130946</f>
        <v>130946</v>
      </c>
      <c r="Q9" s="78">
        <v>9412</v>
      </c>
      <c r="R9" s="78">
        <v>13329</v>
      </c>
      <c r="S9" s="78">
        <v>12157</v>
      </c>
      <c r="T9" s="78">
        <v>14737</v>
      </c>
      <c r="U9" s="78">
        <v>16635</v>
      </c>
      <c r="V9" s="78">
        <v>23286</v>
      </c>
      <c r="W9" s="78">
        <v>14539</v>
      </c>
      <c r="X9" s="78">
        <v>36942</v>
      </c>
      <c r="Y9" s="78">
        <v>18148</v>
      </c>
      <c r="Z9" s="78">
        <v>24256</v>
      </c>
      <c r="AA9" s="78">
        <v>19742</v>
      </c>
      <c r="AB9" s="78">
        <v>29280</v>
      </c>
      <c r="AC9" s="78">
        <v>29016</v>
      </c>
      <c r="AD9" s="78">
        <v>41629</v>
      </c>
      <c r="AE9" s="78">
        <v>24699</v>
      </c>
      <c r="AF9" s="78">
        <v>47628</v>
      </c>
      <c r="AG9" s="78">
        <v>39562</v>
      </c>
      <c r="AH9" s="78">
        <v>44768</v>
      </c>
      <c r="AI9" s="78">
        <v>30868</v>
      </c>
      <c r="AJ9" s="78">
        <v>47787</v>
      </c>
      <c r="AK9" s="78">
        <v>39884</v>
      </c>
      <c r="AL9" s="78">
        <v>47254</v>
      </c>
      <c r="AM9" s="78">
        <v>32740</v>
      </c>
      <c r="AN9" s="78">
        <v>47816</v>
      </c>
      <c r="AO9" s="78">
        <f>33499</f>
        <v>33499</v>
      </c>
      <c r="AP9" s="78">
        <f>N9-AO9</f>
        <v>57153</v>
      </c>
      <c r="AQ9" s="78">
        <f>57360</f>
        <v>57360</v>
      </c>
      <c r="AR9" s="78">
        <f>O9-AQ9</f>
        <v>73586</v>
      </c>
      <c r="AS9" s="78">
        <f>77413</f>
        <v>77413</v>
      </c>
    </row>
    <row r="10" spans="1:45" hidden="1" outlineLevel="1" x14ac:dyDescent="0.2">
      <c r="A10" s="6" t="s">
        <v>140</v>
      </c>
      <c r="B10" s="34">
        <f t="shared" si="0"/>
        <v>0</v>
      </c>
      <c r="C10" s="34">
        <f t="shared" si="1"/>
        <v>0</v>
      </c>
      <c r="D10" s="34">
        <f t="shared" si="2"/>
        <v>0</v>
      </c>
      <c r="E10" s="34">
        <f t="shared" si="3"/>
        <v>0</v>
      </c>
      <c r="F10" s="34">
        <f t="shared" si="4"/>
        <v>0</v>
      </c>
      <c r="G10" s="34">
        <f t="shared" si="5"/>
        <v>0</v>
      </c>
      <c r="H10" s="34">
        <f t="shared" si="6"/>
        <v>0</v>
      </c>
      <c r="I10" s="34">
        <f t="shared" si="7"/>
        <v>-42013</v>
      </c>
      <c r="J10" s="34">
        <f t="shared" si="8"/>
        <v>-44150</v>
      </c>
      <c r="K10" s="34">
        <f t="shared" si="9"/>
        <v>-33744</v>
      </c>
      <c r="L10" s="34">
        <f t="shared" si="10"/>
        <v>-31676</v>
      </c>
      <c r="M10" s="34">
        <f t="shared" ref="M10:N44" si="11">SUM(AM10:AN10)</f>
        <v>0</v>
      </c>
      <c r="N10" s="34">
        <f t="shared" si="11"/>
        <v>0</v>
      </c>
      <c r="O10" s="34"/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-42013</v>
      </c>
      <c r="AG10" s="34">
        <v>-21497</v>
      </c>
      <c r="AH10" s="34">
        <v>-22653</v>
      </c>
      <c r="AI10" s="34">
        <v>-14155</v>
      </c>
      <c r="AJ10" s="34">
        <v>-19589</v>
      </c>
      <c r="AK10" s="34">
        <v>-14470</v>
      </c>
      <c r="AL10" s="78">
        <v>-17206</v>
      </c>
      <c r="AM10" s="78"/>
      <c r="AN10" s="78"/>
      <c r="AO10" s="78"/>
      <c r="AP10" s="78">
        <f t="shared" ref="AP10:AP44" si="12">N10-AO10</f>
        <v>0</v>
      </c>
      <c r="AQ10" s="78"/>
      <c r="AR10" s="78">
        <f t="shared" ref="AR10:AR13" si="13">O10-AQ10</f>
        <v>0</v>
      </c>
      <c r="AS10" s="78"/>
    </row>
    <row r="11" spans="1:45" hidden="1" outlineLevel="1" x14ac:dyDescent="0.2">
      <c r="A11" s="6" t="s">
        <v>141</v>
      </c>
      <c r="B11" s="34">
        <f t="shared" si="0"/>
        <v>0</v>
      </c>
      <c r="C11" s="34">
        <f t="shared" si="1"/>
        <v>0</v>
      </c>
      <c r="D11" s="34">
        <f t="shared" si="2"/>
        <v>0</v>
      </c>
      <c r="E11" s="34">
        <f t="shared" si="3"/>
        <v>0</v>
      </c>
      <c r="F11" s="34">
        <f t="shared" si="4"/>
        <v>0</v>
      </c>
      <c r="G11" s="34">
        <f t="shared" si="5"/>
        <v>0</v>
      </c>
      <c r="H11" s="34">
        <f t="shared" si="6"/>
        <v>0</v>
      </c>
      <c r="I11" s="34">
        <f t="shared" si="7"/>
        <v>0</v>
      </c>
      <c r="J11" s="34">
        <f t="shared" si="8"/>
        <v>-9592</v>
      </c>
      <c r="K11" s="34">
        <f t="shared" si="9"/>
        <v>-15605</v>
      </c>
      <c r="L11" s="34">
        <f t="shared" si="10"/>
        <v>-17904</v>
      </c>
      <c r="M11" s="34">
        <f t="shared" si="11"/>
        <v>0</v>
      </c>
      <c r="N11" s="34">
        <f t="shared" si="11"/>
        <v>0</v>
      </c>
      <c r="O11" s="34"/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-3440</v>
      </c>
      <c r="AH11" s="34">
        <v>-6152</v>
      </c>
      <c r="AI11" s="34">
        <v>-5457</v>
      </c>
      <c r="AJ11" s="34">
        <v>-10148</v>
      </c>
      <c r="AK11" s="34">
        <v>-7583</v>
      </c>
      <c r="AL11" s="78">
        <v>-10321</v>
      </c>
      <c r="AM11" s="78"/>
      <c r="AN11" s="78"/>
      <c r="AO11" s="78"/>
      <c r="AP11" s="78">
        <f t="shared" si="12"/>
        <v>0</v>
      </c>
      <c r="AQ11" s="78"/>
      <c r="AR11" s="78">
        <f t="shared" si="13"/>
        <v>0</v>
      </c>
      <c r="AS11" s="78"/>
    </row>
    <row r="12" spans="1:45" hidden="1" outlineLevel="1" x14ac:dyDescent="0.2">
      <c r="A12" s="6" t="s">
        <v>142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0</v>
      </c>
      <c r="H12" s="34">
        <f t="shared" si="6"/>
        <v>0</v>
      </c>
      <c r="I12" s="34">
        <f t="shared" si="7"/>
        <v>-13259</v>
      </c>
      <c r="J12" s="34">
        <f t="shared" si="8"/>
        <v>-10531</v>
      </c>
      <c r="K12" s="34">
        <f t="shared" si="9"/>
        <v>-7391</v>
      </c>
      <c r="L12" s="34">
        <f t="shared" si="10"/>
        <v>-9776</v>
      </c>
      <c r="M12" s="34">
        <f t="shared" si="11"/>
        <v>0</v>
      </c>
      <c r="N12" s="34">
        <f t="shared" si="11"/>
        <v>0</v>
      </c>
      <c r="O12" s="34"/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-13259</v>
      </c>
      <c r="AG12" s="34">
        <v>-5526</v>
      </c>
      <c r="AH12" s="34">
        <v>-5005</v>
      </c>
      <c r="AI12" s="34">
        <v>-3738</v>
      </c>
      <c r="AJ12" s="34">
        <v>-3653</v>
      </c>
      <c r="AK12" s="34">
        <v>-4033</v>
      </c>
      <c r="AL12" s="78">
        <v>-5743</v>
      </c>
      <c r="AM12" s="78"/>
      <c r="AN12" s="78"/>
      <c r="AO12" s="78"/>
      <c r="AP12" s="78">
        <f t="shared" si="12"/>
        <v>0</v>
      </c>
      <c r="AQ12" s="78"/>
      <c r="AR12" s="78">
        <f t="shared" si="13"/>
        <v>0</v>
      </c>
      <c r="AS12" s="78"/>
    </row>
    <row r="13" spans="1:45" collapsed="1" x14ac:dyDescent="0.2">
      <c r="A13" s="37" t="s">
        <v>143</v>
      </c>
      <c r="B13" s="78">
        <f t="shared" si="0"/>
        <v>-11888</v>
      </c>
      <c r="C13" s="78">
        <f t="shared" si="1"/>
        <v>-17494</v>
      </c>
      <c r="D13" s="78">
        <f t="shared" si="2"/>
        <v>-27553</v>
      </c>
      <c r="E13" s="78">
        <f t="shared" si="3"/>
        <v>-35685</v>
      </c>
      <c r="F13" s="78">
        <f t="shared" si="4"/>
        <v>-29405</v>
      </c>
      <c r="G13" s="78">
        <f t="shared" si="5"/>
        <v>-36813</v>
      </c>
      <c r="H13" s="78">
        <f t="shared" si="6"/>
        <v>-52644</v>
      </c>
      <c r="I13" s="78">
        <f t="shared" si="7"/>
        <v>-55272</v>
      </c>
      <c r="J13" s="78">
        <f t="shared" si="8"/>
        <v>-64273</v>
      </c>
      <c r="K13" s="78">
        <f t="shared" si="9"/>
        <v>-56740</v>
      </c>
      <c r="L13" s="78">
        <f t="shared" si="10"/>
        <v>-59356</v>
      </c>
      <c r="M13" s="78">
        <f t="shared" si="11"/>
        <v>-52353</v>
      </c>
      <c r="N13" s="78">
        <f>-60681</f>
        <v>-60681</v>
      </c>
      <c r="O13" s="78">
        <f>-89568</f>
        <v>-89568</v>
      </c>
      <c r="Q13" s="78">
        <v>-4753</v>
      </c>
      <c r="R13" s="78">
        <v>-7135</v>
      </c>
      <c r="S13" s="78">
        <v>-7797</v>
      </c>
      <c r="T13" s="78">
        <v>-9697</v>
      </c>
      <c r="U13" s="78">
        <v>-11064</v>
      </c>
      <c r="V13" s="78">
        <v>-16489</v>
      </c>
      <c r="W13" s="78">
        <v>-10759</v>
      </c>
      <c r="X13" s="78">
        <v>-24926</v>
      </c>
      <c r="Y13" s="78">
        <v>-12584</v>
      </c>
      <c r="Z13" s="78">
        <v>-16821</v>
      </c>
      <c r="AA13" s="78">
        <v>-15685</v>
      </c>
      <c r="AB13" s="78">
        <v>-21128</v>
      </c>
      <c r="AC13" s="78">
        <v>-22908</v>
      </c>
      <c r="AD13" s="78">
        <v>-29736</v>
      </c>
      <c r="AE13" s="78">
        <v>-19126</v>
      </c>
      <c r="AF13" s="78">
        <v>-36146</v>
      </c>
      <c r="AG13" s="78">
        <v>-30463</v>
      </c>
      <c r="AH13" s="78">
        <v>-33810</v>
      </c>
      <c r="AI13" s="78">
        <v>-23350</v>
      </c>
      <c r="AJ13" s="78">
        <v>-33390</v>
      </c>
      <c r="AK13" s="78">
        <v>-26086</v>
      </c>
      <c r="AL13" s="78">
        <v>-33270</v>
      </c>
      <c r="AM13" s="78">
        <v>-22982</v>
      </c>
      <c r="AN13" s="78">
        <v>-29371</v>
      </c>
      <c r="AO13" s="78">
        <v>-22253</v>
      </c>
      <c r="AP13" s="78">
        <f t="shared" si="12"/>
        <v>-38428</v>
      </c>
      <c r="AQ13" s="78">
        <f>-37792</f>
        <v>-37792</v>
      </c>
      <c r="AR13" s="78">
        <f t="shared" si="13"/>
        <v>-51776</v>
      </c>
      <c r="AS13" s="78">
        <f>-56526</f>
        <v>-56526</v>
      </c>
    </row>
    <row r="14" spans="1:45" hidden="1" outlineLevel="1" x14ac:dyDescent="0.2">
      <c r="A14" s="6" t="s">
        <v>144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0</v>
      </c>
      <c r="F14" s="34">
        <f t="shared" si="4"/>
        <v>0</v>
      </c>
      <c r="G14" s="34">
        <f t="shared" si="5"/>
        <v>0</v>
      </c>
      <c r="H14" s="34">
        <f t="shared" si="6"/>
        <v>0</v>
      </c>
      <c r="I14" s="34">
        <f t="shared" si="7"/>
        <v>16059</v>
      </c>
      <c r="J14" s="34">
        <f t="shared" si="8"/>
        <v>18459</v>
      </c>
      <c r="K14" s="34">
        <f t="shared" si="9"/>
        <v>18057</v>
      </c>
      <c r="L14" s="34">
        <f t="shared" si="10"/>
        <v>21708</v>
      </c>
      <c r="M14" s="34">
        <f t="shared" si="11"/>
        <v>0</v>
      </c>
      <c r="N14" s="34">
        <f t="shared" si="11"/>
        <v>0</v>
      </c>
      <c r="O14" s="34"/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16059</v>
      </c>
      <c r="AG14" s="34">
        <v>8732</v>
      </c>
      <c r="AH14" s="34">
        <v>9727</v>
      </c>
      <c r="AI14" s="34">
        <v>6718</v>
      </c>
      <c r="AJ14" s="34">
        <v>11339</v>
      </c>
      <c r="AK14" s="34">
        <v>8650</v>
      </c>
      <c r="AL14" s="34">
        <v>13058</v>
      </c>
      <c r="AM14" s="34"/>
      <c r="AN14" s="34"/>
      <c r="AO14" s="34"/>
      <c r="AP14" s="34">
        <f t="shared" si="12"/>
        <v>0</v>
      </c>
      <c r="AQ14" s="34"/>
      <c r="AR14" s="34"/>
      <c r="AS14" s="34"/>
    </row>
    <row r="15" spans="1:45" hidden="1" outlineLevel="1" x14ac:dyDescent="0.2">
      <c r="A15" s="6" t="s">
        <v>145</v>
      </c>
      <c r="B15" s="34">
        <f t="shared" si="0"/>
        <v>0</v>
      </c>
      <c r="C15" s="34">
        <f t="shared" si="1"/>
        <v>0</v>
      </c>
      <c r="D15" s="34">
        <f t="shared" si="2"/>
        <v>0</v>
      </c>
      <c r="E15" s="34">
        <f t="shared" si="3"/>
        <v>0</v>
      </c>
      <c r="F15" s="34">
        <f t="shared" si="4"/>
        <v>0</v>
      </c>
      <c r="G15" s="34">
        <f t="shared" si="5"/>
        <v>0</v>
      </c>
      <c r="H15" s="34">
        <f t="shared" si="6"/>
        <v>0</v>
      </c>
      <c r="I15" s="34">
        <f t="shared" si="7"/>
        <v>0</v>
      </c>
      <c r="J15" s="34">
        <f t="shared" si="8"/>
        <v>1283</v>
      </c>
      <c r="K15" s="34">
        <f t="shared" si="9"/>
        <v>3070</v>
      </c>
      <c r="L15" s="34">
        <f t="shared" si="10"/>
        <v>3981</v>
      </c>
      <c r="M15" s="34">
        <f t="shared" si="11"/>
        <v>0</v>
      </c>
      <c r="N15" s="34">
        <f t="shared" si="11"/>
        <v>0</v>
      </c>
      <c r="O15" s="34"/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246</v>
      </c>
      <c r="AH15" s="34">
        <v>1037</v>
      </c>
      <c r="AI15" s="34">
        <v>518</v>
      </c>
      <c r="AJ15" s="34">
        <v>2552</v>
      </c>
      <c r="AK15" s="34">
        <v>2439</v>
      </c>
      <c r="AL15" s="34">
        <v>1542</v>
      </c>
      <c r="AM15" s="34"/>
      <c r="AN15" s="34"/>
      <c r="AO15" s="34"/>
      <c r="AP15" s="34">
        <f t="shared" si="12"/>
        <v>0</v>
      </c>
      <c r="AQ15" s="34"/>
      <c r="AR15" s="34"/>
      <c r="AS15" s="34"/>
    </row>
    <row r="16" spans="1:45" hidden="1" outlineLevel="1" x14ac:dyDescent="0.2">
      <c r="A16" s="6" t="s">
        <v>146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0</v>
      </c>
      <c r="F16" s="34">
        <f t="shared" si="4"/>
        <v>0</v>
      </c>
      <c r="G16" s="34">
        <f t="shared" si="5"/>
        <v>0</v>
      </c>
      <c r="H16" s="34">
        <f t="shared" si="6"/>
        <v>0</v>
      </c>
      <c r="I16" s="34">
        <f t="shared" si="7"/>
        <v>996</v>
      </c>
      <c r="J16" s="34">
        <f t="shared" si="8"/>
        <v>315</v>
      </c>
      <c r="K16" s="34">
        <f t="shared" si="9"/>
        <v>788</v>
      </c>
      <c r="L16" s="34">
        <f t="shared" si="10"/>
        <v>2093</v>
      </c>
      <c r="M16" s="34">
        <f t="shared" si="11"/>
        <v>0</v>
      </c>
      <c r="N16" s="34">
        <f t="shared" si="11"/>
        <v>0</v>
      </c>
      <c r="O16" s="34"/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996</v>
      </c>
      <c r="AG16" s="34">
        <v>121</v>
      </c>
      <c r="AH16" s="34">
        <v>194</v>
      </c>
      <c r="AI16" s="34">
        <v>282</v>
      </c>
      <c r="AJ16" s="34">
        <v>506</v>
      </c>
      <c r="AK16" s="34">
        <v>2709</v>
      </c>
      <c r="AL16" s="34">
        <v>-616</v>
      </c>
      <c r="AM16" s="34"/>
      <c r="AN16" s="34"/>
      <c r="AO16" s="34"/>
      <c r="AP16" s="34">
        <f t="shared" si="12"/>
        <v>0</v>
      </c>
      <c r="AQ16" s="34"/>
      <c r="AR16" s="34"/>
      <c r="AS16" s="34"/>
    </row>
    <row r="17" spans="1:45" collapsed="1" x14ac:dyDescent="0.2">
      <c r="A17" s="38" t="s">
        <v>147</v>
      </c>
      <c r="B17" s="79">
        <f t="shared" si="0"/>
        <v>10853</v>
      </c>
      <c r="C17" s="79">
        <f t="shared" si="1"/>
        <v>9400</v>
      </c>
      <c r="D17" s="79">
        <f t="shared" si="2"/>
        <v>12368</v>
      </c>
      <c r="E17" s="79">
        <f t="shared" si="3"/>
        <v>15796</v>
      </c>
      <c r="F17" s="79">
        <f t="shared" si="4"/>
        <v>12999</v>
      </c>
      <c r="G17" s="79">
        <f t="shared" si="5"/>
        <v>12209</v>
      </c>
      <c r="H17" s="79">
        <f t="shared" si="6"/>
        <v>18001</v>
      </c>
      <c r="I17" s="79">
        <f t="shared" si="7"/>
        <v>17055</v>
      </c>
      <c r="J17" s="79">
        <f t="shared" si="8"/>
        <v>20057</v>
      </c>
      <c r="K17" s="79">
        <f t="shared" si="9"/>
        <v>21915</v>
      </c>
      <c r="L17" s="79">
        <f t="shared" si="10"/>
        <v>27782</v>
      </c>
      <c r="M17" s="79">
        <f t="shared" si="11"/>
        <v>28203</v>
      </c>
      <c r="N17" s="79">
        <v>29971</v>
      </c>
      <c r="O17" s="79">
        <f>41378</f>
        <v>41378</v>
      </c>
      <c r="P17" s="32"/>
      <c r="Q17" s="79">
        <v>4659</v>
      </c>
      <c r="R17" s="79">
        <v>6194</v>
      </c>
      <c r="S17" s="79">
        <v>4360</v>
      </c>
      <c r="T17" s="79">
        <v>5040</v>
      </c>
      <c r="U17" s="79">
        <v>5571</v>
      </c>
      <c r="V17" s="79">
        <v>6797</v>
      </c>
      <c r="W17" s="79">
        <v>3780</v>
      </c>
      <c r="X17" s="79">
        <v>12016</v>
      </c>
      <c r="Y17" s="79">
        <v>5564</v>
      </c>
      <c r="Z17" s="79">
        <v>7435</v>
      </c>
      <c r="AA17" s="79">
        <v>4057</v>
      </c>
      <c r="AB17" s="79">
        <v>8152</v>
      </c>
      <c r="AC17" s="79">
        <v>6108</v>
      </c>
      <c r="AD17" s="79">
        <v>11893</v>
      </c>
      <c r="AE17" s="79">
        <v>5573</v>
      </c>
      <c r="AF17" s="79">
        <v>11482</v>
      </c>
      <c r="AG17" s="79">
        <v>9099</v>
      </c>
      <c r="AH17" s="79">
        <v>10958</v>
      </c>
      <c r="AI17" s="79">
        <v>7518</v>
      </c>
      <c r="AJ17" s="79">
        <v>14397</v>
      </c>
      <c r="AK17" s="80">
        <v>13798</v>
      </c>
      <c r="AL17" s="80">
        <v>13984</v>
      </c>
      <c r="AM17" s="80">
        <v>9758</v>
      </c>
      <c r="AN17" s="80">
        <v>18445</v>
      </c>
      <c r="AO17" s="80">
        <f>AO9+AO13</f>
        <v>11246</v>
      </c>
      <c r="AP17" s="80">
        <f t="shared" si="12"/>
        <v>18725</v>
      </c>
      <c r="AQ17" s="80">
        <f>AQ9+AQ13</f>
        <v>19568</v>
      </c>
      <c r="AR17" s="80">
        <f t="shared" ref="AR17" si="14">O17-AQ17</f>
        <v>21810</v>
      </c>
      <c r="AS17" s="80">
        <f>AS9+AS13</f>
        <v>20887</v>
      </c>
    </row>
    <row r="18" spans="1:45" ht="15" x14ac:dyDescent="0.25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L18" s="34"/>
      <c r="AM18" s="34"/>
      <c r="AN18" s="34"/>
      <c r="AO18" s="34"/>
      <c r="AP18" s="34">
        <f t="shared" si="12"/>
        <v>0</v>
      </c>
      <c r="AQ18" s="34"/>
      <c r="AR18" s="34"/>
      <c r="AS18" s="34"/>
    </row>
    <row r="19" spans="1:45" x14ac:dyDescent="0.2">
      <c r="A19" s="6" t="s">
        <v>148</v>
      </c>
      <c r="B19" s="34">
        <f t="shared" si="0"/>
        <v>-2328</v>
      </c>
      <c r="C19" s="34">
        <f t="shared" si="1"/>
        <v>-2324</v>
      </c>
      <c r="D19" s="34">
        <f t="shared" si="2"/>
        <v>-3157</v>
      </c>
      <c r="E19" s="34">
        <f t="shared" si="3"/>
        <v>-4178</v>
      </c>
      <c r="F19" s="34">
        <f t="shared" si="4"/>
        <v>-4348</v>
      </c>
      <c r="G19" s="34">
        <f t="shared" si="5"/>
        <v>-4454</v>
      </c>
      <c r="H19" s="34">
        <f t="shared" si="6"/>
        <v>-5052</v>
      </c>
      <c r="I19" s="34">
        <f t="shared" si="7"/>
        <v>-6922</v>
      </c>
      <c r="J19" s="34">
        <f t="shared" si="8"/>
        <v>-7280</v>
      </c>
      <c r="K19" s="34">
        <f t="shared" si="9"/>
        <v>-5235</v>
      </c>
      <c r="L19" s="34">
        <f t="shared" si="10"/>
        <v>-5784</v>
      </c>
      <c r="M19" s="34">
        <f t="shared" si="11"/>
        <v>-7259</v>
      </c>
      <c r="N19" s="34">
        <v>-7475</v>
      </c>
      <c r="O19" s="34">
        <f>-8455</f>
        <v>-8455</v>
      </c>
      <c r="Q19" s="34">
        <v>-1020</v>
      </c>
      <c r="R19" s="34">
        <v>-1308</v>
      </c>
      <c r="S19" s="34">
        <v>-1195</v>
      </c>
      <c r="T19" s="34">
        <v>-1129</v>
      </c>
      <c r="U19" s="34">
        <v>-1387</v>
      </c>
      <c r="V19" s="34">
        <v>-1770</v>
      </c>
      <c r="W19" s="34">
        <v>-1957</v>
      </c>
      <c r="X19" s="34">
        <v>-2221</v>
      </c>
      <c r="Y19" s="34">
        <v>-2021</v>
      </c>
      <c r="Z19" s="34">
        <v>-2327</v>
      </c>
      <c r="AA19" s="34">
        <v>-1958</v>
      </c>
      <c r="AB19" s="34">
        <v>-2496</v>
      </c>
      <c r="AC19" s="34">
        <v>-1990</v>
      </c>
      <c r="AD19" s="34">
        <v>-3062</v>
      </c>
      <c r="AE19" s="34">
        <v>-3456</v>
      </c>
      <c r="AF19" s="34">
        <v>-3466</v>
      </c>
      <c r="AG19" s="34">
        <v>-3081</v>
      </c>
      <c r="AH19" s="34">
        <v>-4199</v>
      </c>
      <c r="AI19" s="34">
        <v>-2319</v>
      </c>
      <c r="AJ19" s="34">
        <v>-2916</v>
      </c>
      <c r="AK19" s="34">
        <v>-2453</v>
      </c>
      <c r="AL19" s="34">
        <v>-3331</v>
      </c>
      <c r="AM19" s="34">
        <v>-2558</v>
      </c>
      <c r="AN19" s="34">
        <v>-4701</v>
      </c>
      <c r="AO19" s="34">
        <v>-3243</v>
      </c>
      <c r="AP19" s="34">
        <f t="shared" si="12"/>
        <v>-4232</v>
      </c>
      <c r="AQ19" s="34">
        <f>-3702</f>
        <v>-3702</v>
      </c>
      <c r="AR19" s="34">
        <f t="shared" ref="AR19:AR34" si="15">O19-AQ19</f>
        <v>-4753</v>
      </c>
      <c r="AS19" s="34">
        <f>-3498</f>
        <v>-3498</v>
      </c>
    </row>
    <row r="20" spans="1:45" x14ac:dyDescent="0.2">
      <c r="A20" s="6" t="s">
        <v>149</v>
      </c>
      <c r="B20" s="34">
        <f t="shared" si="0"/>
        <v>-854</v>
      </c>
      <c r="C20" s="34">
        <f t="shared" si="1"/>
        <v>-958</v>
      </c>
      <c r="D20" s="34">
        <f t="shared" si="2"/>
        <v>-1023</v>
      </c>
      <c r="E20" s="34">
        <f t="shared" si="3"/>
        <v>-1474</v>
      </c>
      <c r="F20" s="34">
        <f t="shared" si="4"/>
        <v>-1411</v>
      </c>
      <c r="G20" s="34">
        <f t="shared" si="5"/>
        <v>-1984</v>
      </c>
      <c r="H20" s="34">
        <f t="shared" si="6"/>
        <v>-2930</v>
      </c>
      <c r="I20" s="34">
        <f t="shared" si="7"/>
        <v>-3318</v>
      </c>
      <c r="J20" s="34">
        <f t="shared" si="8"/>
        <v>-4822</v>
      </c>
      <c r="K20" s="34">
        <f t="shared" si="9"/>
        <v>-4560</v>
      </c>
      <c r="L20" s="34">
        <f t="shared" si="10"/>
        <v>-4639</v>
      </c>
      <c r="M20" s="34">
        <f t="shared" si="11"/>
        <v>-5001</v>
      </c>
      <c r="N20" s="34">
        <v>-5158</v>
      </c>
      <c r="O20" s="34">
        <f>-6188</f>
        <v>-6188</v>
      </c>
      <c r="Q20" s="34">
        <v>-336</v>
      </c>
      <c r="R20" s="34">
        <v>-518</v>
      </c>
      <c r="S20" s="34">
        <v>-389</v>
      </c>
      <c r="T20" s="34">
        <v>-569</v>
      </c>
      <c r="U20" s="34">
        <v>-460</v>
      </c>
      <c r="V20" s="34">
        <v>-563</v>
      </c>
      <c r="W20" s="34">
        <v>-577</v>
      </c>
      <c r="X20" s="34">
        <v>-897</v>
      </c>
      <c r="Y20" s="34">
        <v>-619</v>
      </c>
      <c r="Z20" s="34">
        <v>-792</v>
      </c>
      <c r="AA20" s="34">
        <v>-918</v>
      </c>
      <c r="AB20" s="34">
        <v>-1066</v>
      </c>
      <c r="AC20" s="34">
        <v>-1168</v>
      </c>
      <c r="AD20" s="34">
        <v>-1762</v>
      </c>
      <c r="AE20" s="34">
        <v>-1740</v>
      </c>
      <c r="AF20" s="34">
        <v>-1578</v>
      </c>
      <c r="AG20" s="34">
        <v>-2356</v>
      </c>
      <c r="AH20" s="34">
        <v>-2466</v>
      </c>
      <c r="AI20" s="34">
        <v>-2038</v>
      </c>
      <c r="AJ20" s="34">
        <v>-2522</v>
      </c>
      <c r="AK20" s="34">
        <v>-1964</v>
      </c>
      <c r="AL20" s="34">
        <v>-2675</v>
      </c>
      <c r="AM20" s="34">
        <v>-1980</v>
      </c>
      <c r="AN20" s="34">
        <v>-3021</v>
      </c>
      <c r="AO20" s="34">
        <v>-2364</v>
      </c>
      <c r="AP20" s="34">
        <f t="shared" si="12"/>
        <v>-2794</v>
      </c>
      <c r="AQ20" s="34">
        <f>-2965</f>
        <v>-2965</v>
      </c>
      <c r="AR20" s="34">
        <f t="shared" si="15"/>
        <v>-3223</v>
      </c>
      <c r="AS20" s="34">
        <f>-3784</f>
        <v>-3784</v>
      </c>
    </row>
    <row r="21" spans="1:45" x14ac:dyDescent="0.2">
      <c r="A21" s="6" t="s">
        <v>150</v>
      </c>
      <c r="B21" s="34">
        <f t="shared" si="0"/>
        <v>0</v>
      </c>
      <c r="C21" s="34">
        <f t="shared" si="1"/>
        <v>0</v>
      </c>
      <c r="D21" s="34">
        <f t="shared" si="2"/>
        <v>0</v>
      </c>
      <c r="E21" s="34">
        <f t="shared" si="3"/>
        <v>0</v>
      </c>
      <c r="F21" s="34">
        <f t="shared" si="4"/>
        <v>0</v>
      </c>
      <c r="G21" s="34">
        <f t="shared" si="5"/>
        <v>0</v>
      </c>
      <c r="H21" s="34">
        <f t="shared" si="6"/>
        <v>-673</v>
      </c>
      <c r="I21" s="34">
        <f t="shared" si="7"/>
        <v>-800</v>
      </c>
      <c r="J21" s="34">
        <f t="shared" si="8"/>
        <v>-476</v>
      </c>
      <c r="K21" s="34">
        <f t="shared" si="9"/>
        <v>-329</v>
      </c>
      <c r="L21" s="34">
        <f t="shared" si="10"/>
        <v>-169</v>
      </c>
      <c r="M21" s="34">
        <f t="shared" si="11"/>
        <v>-912</v>
      </c>
      <c r="N21" s="34">
        <v>-829</v>
      </c>
      <c r="O21" s="34">
        <f>-547</f>
        <v>-547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-244</v>
      </c>
      <c r="AD21" s="34">
        <v>-429</v>
      </c>
      <c r="AE21" s="34">
        <v>-212</v>
      </c>
      <c r="AF21" s="34">
        <v>-588</v>
      </c>
      <c r="AG21" s="34">
        <v>-142</v>
      </c>
      <c r="AH21" s="34">
        <v>-334</v>
      </c>
      <c r="AI21" s="34">
        <v>-80</v>
      </c>
      <c r="AJ21" s="34">
        <v>-249</v>
      </c>
      <c r="AK21" s="34">
        <v>-167</v>
      </c>
      <c r="AL21" s="34">
        <v>-2</v>
      </c>
      <c r="AM21" s="34">
        <v>-132</v>
      </c>
      <c r="AN21" s="34">
        <v>-780</v>
      </c>
      <c r="AO21" s="34">
        <v>-633</v>
      </c>
      <c r="AP21" s="34">
        <f t="shared" si="12"/>
        <v>-196</v>
      </c>
      <c r="AQ21" s="34">
        <f>-244</f>
        <v>-244</v>
      </c>
      <c r="AR21" s="34">
        <f t="shared" si="15"/>
        <v>-303</v>
      </c>
      <c r="AS21" s="34">
        <f>-153</f>
        <v>-153</v>
      </c>
    </row>
    <row r="22" spans="1:45" x14ac:dyDescent="0.2">
      <c r="A22" s="6" t="s">
        <v>151</v>
      </c>
      <c r="B22" s="34">
        <f t="shared" si="0"/>
        <v>0</v>
      </c>
      <c r="C22" s="34">
        <f t="shared" si="1"/>
        <v>0</v>
      </c>
      <c r="D22" s="34">
        <f t="shared" si="2"/>
        <v>0</v>
      </c>
      <c r="E22" s="34">
        <f t="shared" si="3"/>
        <v>0</v>
      </c>
      <c r="F22" s="34">
        <f t="shared" si="4"/>
        <v>0</v>
      </c>
      <c r="G22" s="34">
        <f t="shared" si="5"/>
        <v>0</v>
      </c>
      <c r="H22" s="34">
        <f t="shared" si="6"/>
        <v>0</v>
      </c>
      <c r="I22" s="34">
        <f t="shared" si="7"/>
        <v>0</v>
      </c>
      <c r="J22" s="34">
        <f t="shared" si="8"/>
        <v>729</v>
      </c>
      <c r="K22" s="34">
        <f t="shared" si="9"/>
        <v>0</v>
      </c>
      <c r="L22" s="34">
        <f t="shared" si="10"/>
        <v>0</v>
      </c>
      <c r="M22" s="34">
        <f t="shared" si="11"/>
        <v>12038</v>
      </c>
      <c r="N22" s="34">
        <f t="shared" si="11"/>
        <v>0</v>
      </c>
      <c r="O22" s="34">
        <f>0</f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729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12038</v>
      </c>
      <c r="AN22" s="34">
        <v>0</v>
      </c>
      <c r="AO22" s="34">
        <v>0</v>
      </c>
      <c r="AP22" s="34">
        <f t="shared" si="12"/>
        <v>0</v>
      </c>
      <c r="AQ22" s="34">
        <f>0</f>
        <v>0</v>
      </c>
      <c r="AR22" s="34">
        <f t="shared" si="15"/>
        <v>0</v>
      </c>
      <c r="AS22" s="34">
        <f>0</f>
        <v>0</v>
      </c>
    </row>
    <row r="23" spans="1:45" x14ac:dyDescent="0.2">
      <c r="A23" s="6" t="s">
        <v>152</v>
      </c>
      <c r="B23" s="34">
        <f t="shared" si="0"/>
        <v>-27</v>
      </c>
      <c r="C23" s="34">
        <f t="shared" si="1"/>
        <v>-209</v>
      </c>
      <c r="D23" s="34">
        <f t="shared" si="2"/>
        <v>-40</v>
      </c>
      <c r="E23" s="34">
        <f t="shared" si="3"/>
        <v>-913</v>
      </c>
      <c r="F23" s="34">
        <f t="shared" si="4"/>
        <v>-991</v>
      </c>
      <c r="G23" s="34">
        <f t="shared" si="5"/>
        <v>-753</v>
      </c>
      <c r="H23" s="34">
        <f t="shared" si="6"/>
        <v>366</v>
      </c>
      <c r="I23" s="34">
        <f t="shared" si="7"/>
        <v>-2811</v>
      </c>
      <c r="J23" s="34">
        <f t="shared" si="8"/>
        <v>-1724</v>
      </c>
      <c r="K23" s="34">
        <f t="shared" si="9"/>
        <v>-1573</v>
      </c>
      <c r="L23" s="34">
        <f t="shared" si="10"/>
        <v>-3944</v>
      </c>
      <c r="M23" s="34">
        <f t="shared" si="11"/>
        <v>-2014</v>
      </c>
      <c r="N23" s="34">
        <f>-5064+496</f>
        <v>-4568</v>
      </c>
      <c r="O23" s="34">
        <f>1510-3977</f>
        <v>-2467</v>
      </c>
      <c r="Q23" s="34">
        <v>37</v>
      </c>
      <c r="R23" s="34">
        <v>-64</v>
      </c>
      <c r="S23" s="34">
        <v>-27</v>
      </c>
      <c r="T23" s="34">
        <v>-182</v>
      </c>
      <c r="U23" s="34">
        <v>-96</v>
      </c>
      <c r="V23" s="34">
        <v>56</v>
      </c>
      <c r="W23" s="34">
        <v>-166</v>
      </c>
      <c r="X23" s="34">
        <v>-747</v>
      </c>
      <c r="Y23" s="34">
        <v>-341</v>
      </c>
      <c r="Z23" s="34">
        <v>-650</v>
      </c>
      <c r="AA23" s="34">
        <v>-495</v>
      </c>
      <c r="AB23" s="34">
        <v>-258</v>
      </c>
      <c r="AC23" s="34">
        <v>-176</v>
      </c>
      <c r="AD23" s="34">
        <v>542</v>
      </c>
      <c r="AE23" s="34">
        <v>-1427</v>
      </c>
      <c r="AF23" s="34">
        <v>-1384</v>
      </c>
      <c r="AG23" s="34">
        <v>-720</v>
      </c>
      <c r="AH23" s="34">
        <v>-1004</v>
      </c>
      <c r="AI23" s="34">
        <v>-879</v>
      </c>
      <c r="AJ23" s="34">
        <v>-694</v>
      </c>
      <c r="AK23" s="34">
        <v>-2753</v>
      </c>
      <c r="AL23" s="34">
        <v>-1191</v>
      </c>
      <c r="AM23" s="34">
        <v>268</v>
      </c>
      <c r="AN23" s="34">
        <v>-2282</v>
      </c>
      <c r="AO23" s="34">
        <f>281-1294</f>
        <v>-1013</v>
      </c>
      <c r="AP23" s="34">
        <f t="shared" si="12"/>
        <v>-3555</v>
      </c>
      <c r="AQ23" s="34">
        <f>260-2387</f>
        <v>-2127</v>
      </c>
      <c r="AR23" s="34">
        <f t="shared" si="15"/>
        <v>-340</v>
      </c>
      <c r="AS23" s="34">
        <f>3009-1244</f>
        <v>1765</v>
      </c>
    </row>
    <row r="24" spans="1:45" x14ac:dyDescent="0.2">
      <c r="A24" s="38" t="s">
        <v>153</v>
      </c>
      <c r="B24" s="79">
        <f t="shared" si="0"/>
        <v>7644</v>
      </c>
      <c r="C24" s="79">
        <f t="shared" si="1"/>
        <v>5909</v>
      </c>
      <c r="D24" s="79">
        <f t="shared" si="2"/>
        <v>8148</v>
      </c>
      <c r="E24" s="79">
        <f t="shared" si="3"/>
        <v>9231</v>
      </c>
      <c r="F24" s="79">
        <f t="shared" si="4"/>
        <v>6249</v>
      </c>
      <c r="G24" s="79">
        <f t="shared" si="5"/>
        <v>5018</v>
      </c>
      <c r="H24" s="79">
        <f t="shared" si="6"/>
        <v>9712</v>
      </c>
      <c r="I24" s="79">
        <f t="shared" si="7"/>
        <v>3204</v>
      </c>
      <c r="J24" s="79">
        <f t="shared" si="8"/>
        <v>6484</v>
      </c>
      <c r="K24" s="79">
        <f t="shared" si="9"/>
        <v>10218</v>
      </c>
      <c r="L24" s="79">
        <f t="shared" si="10"/>
        <v>13246</v>
      </c>
      <c r="M24" s="79">
        <f t="shared" si="11"/>
        <v>25055</v>
      </c>
      <c r="N24" s="79">
        <f>SUM(N17:N23)</f>
        <v>11941</v>
      </c>
      <c r="O24" s="79">
        <f>23721</f>
        <v>23721</v>
      </c>
      <c r="P24" s="32"/>
      <c r="Q24" s="79">
        <v>3340</v>
      </c>
      <c r="R24" s="79">
        <v>4304</v>
      </c>
      <c r="S24" s="79">
        <v>2749</v>
      </c>
      <c r="T24" s="79">
        <v>3160</v>
      </c>
      <c r="U24" s="79">
        <v>3628</v>
      </c>
      <c r="V24" s="79">
        <v>4520</v>
      </c>
      <c r="W24" s="79">
        <v>1080</v>
      </c>
      <c r="X24" s="79">
        <v>8151</v>
      </c>
      <c r="Y24" s="79">
        <v>2583</v>
      </c>
      <c r="Z24" s="79">
        <v>3666</v>
      </c>
      <c r="AA24" s="79">
        <v>686</v>
      </c>
      <c r="AB24" s="79">
        <v>4332</v>
      </c>
      <c r="AC24" s="79">
        <v>2530</v>
      </c>
      <c r="AD24" s="79">
        <v>7182</v>
      </c>
      <c r="AE24" s="79">
        <v>-1262</v>
      </c>
      <c r="AF24" s="79">
        <v>4466</v>
      </c>
      <c r="AG24" s="79">
        <v>3529</v>
      </c>
      <c r="AH24" s="79">
        <v>2955</v>
      </c>
      <c r="AI24" s="79">
        <v>2202</v>
      </c>
      <c r="AJ24" s="79">
        <v>8016</v>
      </c>
      <c r="AK24" s="80">
        <v>6461</v>
      </c>
      <c r="AL24" s="81">
        <v>6785</v>
      </c>
      <c r="AM24" s="81">
        <f>SUM(AM17:AM23)</f>
        <v>17394</v>
      </c>
      <c r="AN24" s="81">
        <v>7661</v>
      </c>
      <c r="AO24" s="81">
        <f>SUM(AO17:AO23)</f>
        <v>3993</v>
      </c>
      <c r="AP24" s="81">
        <f t="shared" si="12"/>
        <v>7948</v>
      </c>
      <c r="AQ24" s="81">
        <f>SUM(AQ17:AQ23)</f>
        <v>10530</v>
      </c>
      <c r="AR24" s="81">
        <f t="shared" si="15"/>
        <v>13191</v>
      </c>
      <c r="AS24" s="81">
        <f>SUM(AS17:AS23)</f>
        <v>15217</v>
      </c>
    </row>
    <row r="25" spans="1:45" x14ac:dyDescent="0.2">
      <c r="A25" s="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L25" s="34"/>
      <c r="AM25" s="34"/>
      <c r="AN25" s="34"/>
      <c r="AO25" s="34"/>
      <c r="AP25" s="34">
        <f t="shared" si="12"/>
        <v>0</v>
      </c>
      <c r="AQ25" s="34"/>
      <c r="AR25" s="34"/>
      <c r="AS25" s="34"/>
    </row>
    <row r="26" spans="1:45" x14ac:dyDescent="0.2">
      <c r="A26" s="6" t="s">
        <v>154</v>
      </c>
      <c r="B26" s="34">
        <f t="shared" si="0"/>
        <v>267</v>
      </c>
      <c r="C26" s="34">
        <f t="shared" si="1"/>
        <v>676</v>
      </c>
      <c r="D26" s="34">
        <f t="shared" si="2"/>
        <v>679</v>
      </c>
      <c r="E26" s="34">
        <f t="shared" si="3"/>
        <v>895</v>
      </c>
      <c r="F26" s="34">
        <f t="shared" si="4"/>
        <v>1667</v>
      </c>
      <c r="G26" s="34">
        <f t="shared" si="5"/>
        <v>1791</v>
      </c>
      <c r="H26" s="34">
        <f t="shared" si="6"/>
        <v>1696</v>
      </c>
      <c r="I26" s="34">
        <f t="shared" si="7"/>
        <v>2101</v>
      </c>
      <c r="J26" s="34">
        <f t="shared" si="8"/>
        <v>2872</v>
      </c>
      <c r="K26" s="34">
        <f t="shared" si="9"/>
        <v>1887</v>
      </c>
      <c r="L26" s="34">
        <f t="shared" si="10"/>
        <v>2392</v>
      </c>
      <c r="M26" s="34">
        <f t="shared" si="11"/>
        <v>3914</v>
      </c>
      <c r="N26" s="34">
        <v>2217</v>
      </c>
      <c r="O26" s="34">
        <f>1978</f>
        <v>1978</v>
      </c>
      <c r="Q26" s="34">
        <v>111</v>
      </c>
      <c r="R26" s="34">
        <v>156</v>
      </c>
      <c r="S26" s="34">
        <v>334</v>
      </c>
      <c r="T26" s="34">
        <v>342</v>
      </c>
      <c r="U26" s="34">
        <v>386</v>
      </c>
      <c r="V26" s="34">
        <v>293</v>
      </c>
      <c r="W26" s="34">
        <v>389</v>
      </c>
      <c r="X26" s="34">
        <v>506</v>
      </c>
      <c r="Y26" s="34">
        <v>992</v>
      </c>
      <c r="Z26" s="34">
        <v>675</v>
      </c>
      <c r="AA26" s="34">
        <v>849</v>
      </c>
      <c r="AB26" s="34">
        <v>942</v>
      </c>
      <c r="AC26" s="34">
        <v>767</v>
      </c>
      <c r="AD26" s="34">
        <v>929</v>
      </c>
      <c r="AE26" s="34">
        <v>895</v>
      </c>
      <c r="AF26" s="34">
        <v>1206</v>
      </c>
      <c r="AG26" s="34">
        <v>1517</v>
      </c>
      <c r="AH26" s="34">
        <v>1355</v>
      </c>
      <c r="AI26" s="34">
        <v>1125</v>
      </c>
      <c r="AJ26" s="34">
        <v>762</v>
      </c>
      <c r="AK26" s="34">
        <v>644</v>
      </c>
      <c r="AL26" s="34">
        <v>1748</v>
      </c>
      <c r="AM26" s="34">
        <v>2525</v>
      </c>
      <c r="AN26" s="34">
        <v>1389</v>
      </c>
      <c r="AO26" s="34">
        <v>975</v>
      </c>
      <c r="AP26" s="34">
        <f t="shared" si="12"/>
        <v>1242</v>
      </c>
      <c r="AQ26" s="34">
        <f>924</f>
        <v>924</v>
      </c>
      <c r="AR26" s="34">
        <f t="shared" si="15"/>
        <v>1054</v>
      </c>
      <c r="AS26" s="34">
        <f>1392</f>
        <v>1392</v>
      </c>
    </row>
    <row r="27" spans="1:45" x14ac:dyDescent="0.2">
      <c r="A27" s="6" t="s">
        <v>155</v>
      </c>
      <c r="B27" s="34">
        <f t="shared" si="0"/>
        <v>1174</v>
      </c>
      <c r="C27" s="34">
        <f t="shared" si="1"/>
        <v>73</v>
      </c>
      <c r="D27" s="34">
        <f t="shared" si="2"/>
        <v>12</v>
      </c>
      <c r="E27" s="34">
        <f t="shared" si="3"/>
        <v>822</v>
      </c>
      <c r="F27" s="34">
        <f t="shared" si="4"/>
        <v>19</v>
      </c>
      <c r="G27" s="34">
        <f t="shared" si="5"/>
        <v>66</v>
      </c>
      <c r="H27" s="34">
        <f t="shared" si="6"/>
        <v>16</v>
      </c>
      <c r="I27" s="34">
        <f t="shared" si="7"/>
        <v>183</v>
      </c>
      <c r="J27" s="34">
        <f t="shared" si="8"/>
        <v>119</v>
      </c>
      <c r="K27" s="34">
        <f t="shared" si="9"/>
        <v>129</v>
      </c>
      <c r="L27" s="34">
        <f t="shared" si="10"/>
        <v>136</v>
      </c>
      <c r="M27" s="34">
        <f t="shared" si="11"/>
        <v>75</v>
      </c>
      <c r="N27" s="34">
        <v>598</v>
      </c>
      <c r="O27" s="34">
        <f>5610</f>
        <v>5610</v>
      </c>
      <c r="Q27" s="34">
        <v>124</v>
      </c>
      <c r="R27" s="34">
        <v>1050</v>
      </c>
      <c r="S27" s="34">
        <v>33</v>
      </c>
      <c r="T27" s="34">
        <v>40</v>
      </c>
      <c r="U27" s="34">
        <v>48</v>
      </c>
      <c r="V27" s="34">
        <v>-36</v>
      </c>
      <c r="W27" s="34">
        <v>2</v>
      </c>
      <c r="X27" s="34">
        <v>820</v>
      </c>
      <c r="Y27" s="34">
        <v>6</v>
      </c>
      <c r="Z27" s="34">
        <v>13</v>
      </c>
      <c r="AA27" s="34">
        <v>42</v>
      </c>
      <c r="AB27" s="34">
        <v>24</v>
      </c>
      <c r="AC27" s="34">
        <v>2</v>
      </c>
      <c r="AD27" s="34">
        <v>14</v>
      </c>
      <c r="AE27" s="34">
        <v>209</v>
      </c>
      <c r="AF27" s="34">
        <v>-26</v>
      </c>
      <c r="AG27" s="34">
        <v>37</v>
      </c>
      <c r="AH27" s="34">
        <v>82</v>
      </c>
      <c r="AI27" s="34">
        <v>150</v>
      </c>
      <c r="AJ27" s="34">
        <v>-21</v>
      </c>
      <c r="AK27" s="34">
        <v>65</v>
      </c>
      <c r="AL27" s="34">
        <v>71</v>
      </c>
      <c r="AM27" s="34">
        <v>68</v>
      </c>
      <c r="AN27" s="34">
        <v>7</v>
      </c>
      <c r="AO27" s="34">
        <v>337</v>
      </c>
      <c r="AP27" s="34">
        <f t="shared" si="12"/>
        <v>261</v>
      </c>
      <c r="AQ27" s="34">
        <f>2122</f>
        <v>2122</v>
      </c>
      <c r="AR27" s="34">
        <f t="shared" si="15"/>
        <v>3488</v>
      </c>
      <c r="AS27" s="34">
        <f>0</f>
        <v>0</v>
      </c>
    </row>
    <row r="28" spans="1:45" x14ac:dyDescent="0.2">
      <c r="A28" s="6" t="s">
        <v>156</v>
      </c>
      <c r="B28" s="34">
        <f t="shared" si="0"/>
        <v>-60</v>
      </c>
      <c r="C28" s="34">
        <f t="shared" si="1"/>
        <v>-132</v>
      </c>
      <c r="D28" s="34">
        <f t="shared" si="2"/>
        <v>-342</v>
      </c>
      <c r="E28" s="34">
        <f t="shared" si="3"/>
        <v>-553</v>
      </c>
      <c r="F28" s="34">
        <f t="shared" si="4"/>
        <v>-504</v>
      </c>
      <c r="G28" s="34">
        <f t="shared" si="5"/>
        <v>-319</v>
      </c>
      <c r="H28" s="34">
        <f t="shared" si="6"/>
        <v>-1007</v>
      </c>
      <c r="I28" s="34">
        <f t="shared" si="7"/>
        <v>-5065</v>
      </c>
      <c r="J28" s="34">
        <f t="shared" si="8"/>
        <v>-7704</v>
      </c>
      <c r="K28" s="34">
        <f t="shared" si="9"/>
        <v>-7512</v>
      </c>
      <c r="L28" s="34">
        <f t="shared" si="10"/>
        <v>-9909</v>
      </c>
      <c r="M28" s="34">
        <f t="shared" si="11"/>
        <v>-13120</v>
      </c>
      <c r="N28" s="34">
        <v>-15776</v>
      </c>
      <c r="O28" s="34">
        <f>-33411</f>
        <v>-33411</v>
      </c>
      <c r="Q28" s="34">
        <v>-20</v>
      </c>
      <c r="R28" s="34">
        <v>-40</v>
      </c>
      <c r="S28" s="34">
        <v>-96</v>
      </c>
      <c r="T28" s="34">
        <v>-36</v>
      </c>
      <c r="U28" s="34">
        <v>-142</v>
      </c>
      <c r="V28" s="34">
        <v>-200</v>
      </c>
      <c r="W28" s="34">
        <v>-242</v>
      </c>
      <c r="X28" s="34">
        <v>-311</v>
      </c>
      <c r="Y28" s="34">
        <v>-593</v>
      </c>
      <c r="Z28" s="34">
        <v>89</v>
      </c>
      <c r="AA28" s="34">
        <v>-152</v>
      </c>
      <c r="AB28" s="34">
        <v>-167</v>
      </c>
      <c r="AC28" s="34">
        <v>-423</v>
      </c>
      <c r="AD28" s="34">
        <v>-584</v>
      </c>
      <c r="AE28" s="34">
        <v>-2192</v>
      </c>
      <c r="AF28" s="34">
        <v>-2873</v>
      </c>
      <c r="AG28" s="34">
        <v>-3667</v>
      </c>
      <c r="AH28" s="34">
        <v>-4037</v>
      </c>
      <c r="AI28" s="34">
        <v>-4166</v>
      </c>
      <c r="AJ28" s="34">
        <v>-3346</v>
      </c>
      <c r="AK28" s="34">
        <v>-4414</v>
      </c>
      <c r="AL28" s="34">
        <v>-5495</v>
      </c>
      <c r="AM28" s="34">
        <v>-6863</v>
      </c>
      <c r="AN28" s="34">
        <v>-6257</v>
      </c>
      <c r="AO28" s="34">
        <v>-6939</v>
      </c>
      <c r="AP28" s="34">
        <f t="shared" si="12"/>
        <v>-8837</v>
      </c>
      <c r="AQ28" s="34">
        <f>-12792</f>
        <v>-12792</v>
      </c>
      <c r="AR28" s="34">
        <f t="shared" si="15"/>
        <v>-20619</v>
      </c>
      <c r="AS28" s="34">
        <f>-26479</f>
        <v>-26479</v>
      </c>
    </row>
    <row r="29" spans="1:45" x14ac:dyDescent="0.2">
      <c r="A29" s="40" t="s">
        <v>157</v>
      </c>
      <c r="B29" s="78">
        <f t="shared" si="0"/>
        <v>1381</v>
      </c>
      <c r="C29" s="78">
        <f t="shared" si="1"/>
        <v>617</v>
      </c>
      <c r="D29" s="78">
        <f t="shared" si="2"/>
        <v>349</v>
      </c>
      <c r="E29" s="78">
        <f t="shared" si="3"/>
        <v>1164</v>
      </c>
      <c r="F29" s="78">
        <f t="shared" si="4"/>
        <v>1182</v>
      </c>
      <c r="G29" s="78">
        <f t="shared" si="5"/>
        <v>1538</v>
      </c>
      <c r="H29" s="78">
        <f t="shared" si="6"/>
        <v>705</v>
      </c>
      <c r="I29" s="78">
        <f t="shared" si="7"/>
        <v>-2781</v>
      </c>
      <c r="J29" s="78">
        <f t="shared" si="8"/>
        <v>-4713</v>
      </c>
      <c r="K29" s="78">
        <f t="shared" si="9"/>
        <v>-5496</v>
      </c>
      <c r="L29" s="34">
        <f t="shared" si="10"/>
        <v>-7381</v>
      </c>
      <c r="M29" s="34">
        <f t="shared" si="11"/>
        <v>-9131</v>
      </c>
      <c r="N29" s="34">
        <f>SUM(N26:N28)</f>
        <v>-12961</v>
      </c>
      <c r="O29" s="34">
        <f>SUM(O26:O28)</f>
        <v>-25823</v>
      </c>
      <c r="P29" s="40"/>
      <c r="Q29" s="78">
        <v>215</v>
      </c>
      <c r="R29" s="78">
        <v>1166</v>
      </c>
      <c r="S29" s="78">
        <v>271</v>
      </c>
      <c r="T29" s="78">
        <v>346</v>
      </c>
      <c r="U29" s="78">
        <v>292</v>
      </c>
      <c r="V29" s="78">
        <v>57</v>
      </c>
      <c r="W29" s="78">
        <v>149</v>
      </c>
      <c r="X29" s="78">
        <v>1015</v>
      </c>
      <c r="Y29" s="78">
        <v>405</v>
      </c>
      <c r="Z29" s="78">
        <v>777</v>
      </c>
      <c r="AA29" s="78">
        <v>739</v>
      </c>
      <c r="AB29" s="78">
        <v>799</v>
      </c>
      <c r="AC29" s="78">
        <v>346</v>
      </c>
      <c r="AD29" s="78">
        <v>359</v>
      </c>
      <c r="AE29" s="78">
        <v>-1088</v>
      </c>
      <c r="AF29" s="78">
        <v>-1693</v>
      </c>
      <c r="AG29" s="78">
        <v>-2113</v>
      </c>
      <c r="AH29" s="78">
        <v>-2600</v>
      </c>
      <c r="AI29" s="78">
        <v>-2891</v>
      </c>
      <c r="AJ29" s="78">
        <v>-2605</v>
      </c>
      <c r="AK29" s="78">
        <v>-3705</v>
      </c>
      <c r="AL29" s="78">
        <v>-3676</v>
      </c>
      <c r="AM29" s="78">
        <f>SUM(AM26:AM28)</f>
        <v>-4270</v>
      </c>
      <c r="AN29" s="34">
        <v>-4861</v>
      </c>
      <c r="AO29" s="78">
        <f>SUM(AO26:AO28)</f>
        <v>-5627</v>
      </c>
      <c r="AP29" s="78">
        <f t="shared" si="12"/>
        <v>-7334</v>
      </c>
      <c r="AQ29" s="78">
        <f>SUM(AQ26:AQ28)</f>
        <v>-9746</v>
      </c>
      <c r="AR29" s="78">
        <f t="shared" si="15"/>
        <v>-16077</v>
      </c>
      <c r="AS29" s="78">
        <f>SUM(AS26:AS28)</f>
        <v>-25087</v>
      </c>
    </row>
    <row r="30" spans="1:45" x14ac:dyDescent="0.2">
      <c r="A30" s="6" t="s">
        <v>158</v>
      </c>
      <c r="B30" s="34">
        <f t="shared" si="0"/>
        <v>0</v>
      </c>
      <c r="C30" s="34">
        <f t="shared" si="1"/>
        <v>0</v>
      </c>
      <c r="D30" s="34">
        <f t="shared" si="2"/>
        <v>0</v>
      </c>
      <c r="E30" s="34">
        <f t="shared" si="3"/>
        <v>0</v>
      </c>
      <c r="F30" s="34">
        <f t="shared" si="4"/>
        <v>0</v>
      </c>
      <c r="G30" s="34">
        <f t="shared" si="5"/>
        <v>0</v>
      </c>
      <c r="H30" s="34">
        <f t="shared" si="6"/>
        <v>0</v>
      </c>
      <c r="I30" s="34">
        <f t="shared" si="7"/>
        <v>0</v>
      </c>
      <c r="J30" s="34">
        <f t="shared" si="8"/>
        <v>0</v>
      </c>
      <c r="K30" s="34">
        <f t="shared" si="9"/>
        <v>0</v>
      </c>
      <c r="L30" s="34">
        <f t="shared" si="10"/>
        <v>-16</v>
      </c>
      <c r="M30" s="34">
        <f t="shared" si="11"/>
        <v>-37</v>
      </c>
      <c r="N30" s="34">
        <v>66</v>
      </c>
      <c r="O30" s="34">
        <f>-4991</f>
        <v>-4991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L30" s="34">
        <v>-16</v>
      </c>
      <c r="AM30" s="34">
        <v>-38</v>
      </c>
      <c r="AN30" s="34">
        <v>1</v>
      </c>
      <c r="AO30" s="34">
        <v>17</v>
      </c>
      <c r="AP30" s="34">
        <f t="shared" si="12"/>
        <v>49</v>
      </c>
      <c r="AQ30" s="34">
        <f>-1470</f>
        <v>-1470</v>
      </c>
      <c r="AR30" s="34">
        <f t="shared" si="15"/>
        <v>-3521</v>
      </c>
      <c r="AS30" s="34">
        <f>-504</f>
        <v>-504</v>
      </c>
    </row>
    <row r="31" spans="1:45" x14ac:dyDescent="0.2">
      <c r="A31" s="40" t="s">
        <v>159</v>
      </c>
      <c r="B31" s="78">
        <f t="shared" si="0"/>
        <v>9025</v>
      </c>
      <c r="C31" s="78">
        <f t="shared" si="1"/>
        <v>6526</v>
      </c>
      <c r="D31" s="78">
        <f t="shared" si="2"/>
        <v>8497</v>
      </c>
      <c r="E31" s="78">
        <f t="shared" si="3"/>
        <v>10395</v>
      </c>
      <c r="F31" s="78">
        <f t="shared" si="4"/>
        <v>7431</v>
      </c>
      <c r="G31" s="78">
        <f t="shared" si="5"/>
        <v>6556</v>
      </c>
      <c r="H31" s="78">
        <f t="shared" si="6"/>
        <v>10417</v>
      </c>
      <c r="I31" s="78">
        <f t="shared" si="7"/>
        <v>423</v>
      </c>
      <c r="J31" s="78">
        <f t="shared" si="8"/>
        <v>1771</v>
      </c>
      <c r="K31" s="78">
        <f t="shared" si="9"/>
        <v>4722</v>
      </c>
      <c r="L31" s="34">
        <f t="shared" si="10"/>
        <v>5849</v>
      </c>
      <c r="M31" s="34">
        <f t="shared" si="11"/>
        <v>15887</v>
      </c>
      <c r="N31" s="34">
        <v>-954</v>
      </c>
      <c r="O31" s="34">
        <f>-7093</f>
        <v>-7093</v>
      </c>
      <c r="P31" s="40"/>
      <c r="Q31" s="78">
        <v>3555</v>
      </c>
      <c r="R31" s="78">
        <v>5470</v>
      </c>
      <c r="S31" s="78">
        <v>3020</v>
      </c>
      <c r="T31" s="78">
        <v>3506</v>
      </c>
      <c r="U31" s="78">
        <v>3920</v>
      </c>
      <c r="V31" s="78">
        <v>4577</v>
      </c>
      <c r="W31" s="78">
        <v>1229</v>
      </c>
      <c r="X31" s="78">
        <v>9166</v>
      </c>
      <c r="Y31" s="78">
        <v>2988</v>
      </c>
      <c r="Z31" s="78">
        <v>4443</v>
      </c>
      <c r="AA31" s="78">
        <v>1425</v>
      </c>
      <c r="AB31" s="78">
        <v>5131</v>
      </c>
      <c r="AC31" s="78">
        <v>2876</v>
      </c>
      <c r="AD31" s="78">
        <v>7541</v>
      </c>
      <c r="AE31" s="78">
        <v>-2350</v>
      </c>
      <c r="AF31" s="78">
        <v>2773</v>
      </c>
      <c r="AG31" s="78">
        <v>1416</v>
      </c>
      <c r="AH31" s="78">
        <v>355</v>
      </c>
      <c r="AI31" s="78">
        <v>-689</v>
      </c>
      <c r="AJ31" s="78">
        <v>5411</v>
      </c>
      <c r="AK31" s="78">
        <v>2756</v>
      </c>
      <c r="AL31" s="78">
        <v>3093</v>
      </c>
      <c r="AM31" s="78">
        <v>13086</v>
      </c>
      <c r="AN31" s="78">
        <v>2801</v>
      </c>
      <c r="AO31" s="78">
        <f>AO29+AO24+AO30</f>
        <v>-1617</v>
      </c>
      <c r="AP31" s="78">
        <f t="shared" si="12"/>
        <v>663</v>
      </c>
      <c r="AQ31" s="78">
        <f>AQ29+AQ24+AQ30</f>
        <v>-686</v>
      </c>
      <c r="AR31" s="78">
        <f t="shared" si="15"/>
        <v>-6407</v>
      </c>
      <c r="AS31" s="78">
        <f>AS29+AS24+AS30</f>
        <v>-10374</v>
      </c>
    </row>
    <row r="32" spans="1:45" x14ac:dyDescent="0.2">
      <c r="A32" s="6" t="s">
        <v>160</v>
      </c>
      <c r="B32" s="34">
        <f t="shared" si="0"/>
        <v>-1585</v>
      </c>
      <c r="C32" s="34">
        <f t="shared" si="1"/>
        <v>-1526</v>
      </c>
      <c r="D32" s="34">
        <f t="shared" si="2"/>
        <v>-1833</v>
      </c>
      <c r="E32" s="34">
        <f t="shared" si="3"/>
        <v>-2026</v>
      </c>
      <c r="F32" s="34">
        <f t="shared" si="4"/>
        <v>-2002</v>
      </c>
      <c r="G32" s="34">
        <f t="shared" si="5"/>
        <v>-1654</v>
      </c>
      <c r="H32" s="34">
        <f t="shared" si="6"/>
        <v>-2524</v>
      </c>
      <c r="I32" s="34">
        <f t="shared" si="7"/>
        <v>-1123</v>
      </c>
      <c r="J32" s="34">
        <f t="shared" si="8"/>
        <v>-1585</v>
      </c>
      <c r="K32" s="34">
        <f t="shared" si="9"/>
        <v>-2686</v>
      </c>
      <c r="L32" s="34">
        <f t="shared" si="10"/>
        <v>-2842</v>
      </c>
      <c r="M32" s="34">
        <f t="shared" si="11"/>
        <v>-2886</v>
      </c>
      <c r="N32" s="34">
        <v>-2416</v>
      </c>
      <c r="O32" s="34">
        <f>179</f>
        <v>179</v>
      </c>
      <c r="Q32" s="34">
        <v>-804</v>
      </c>
      <c r="R32" s="34">
        <v>-781</v>
      </c>
      <c r="S32" s="34">
        <v>-651</v>
      </c>
      <c r="T32" s="34">
        <v>-875</v>
      </c>
      <c r="U32" s="34">
        <v>-822</v>
      </c>
      <c r="V32" s="34">
        <v>-1011</v>
      </c>
      <c r="W32" s="34">
        <v>-302</v>
      </c>
      <c r="X32" s="34">
        <v>-1724</v>
      </c>
      <c r="Y32" s="34">
        <v>-795</v>
      </c>
      <c r="Z32" s="34">
        <v>-1207</v>
      </c>
      <c r="AA32" s="34">
        <v>-117</v>
      </c>
      <c r="AB32" s="34">
        <v>-1537</v>
      </c>
      <c r="AC32" s="34">
        <v>-754</v>
      </c>
      <c r="AD32" s="34">
        <v>-1770</v>
      </c>
      <c r="AE32" s="34">
        <v>369</v>
      </c>
      <c r="AF32" s="34">
        <v>-1492</v>
      </c>
      <c r="AG32" s="34">
        <v>-857</v>
      </c>
      <c r="AH32" s="34">
        <v>-728</v>
      </c>
      <c r="AI32" s="34">
        <v>-1082</v>
      </c>
      <c r="AJ32" s="34">
        <v>-1604</v>
      </c>
      <c r="AK32" s="34">
        <v>-1461</v>
      </c>
      <c r="AL32" s="34">
        <v>-1381</v>
      </c>
      <c r="AM32" s="34">
        <v>-1414</v>
      </c>
      <c r="AN32" s="34">
        <v>-1472</v>
      </c>
      <c r="AO32" s="34">
        <v>-502</v>
      </c>
      <c r="AP32" s="34">
        <f t="shared" si="12"/>
        <v>-1914</v>
      </c>
      <c r="AQ32" s="34">
        <f>-811</f>
        <v>-811</v>
      </c>
      <c r="AR32" s="34">
        <f t="shared" si="15"/>
        <v>990</v>
      </c>
      <c r="AS32" s="34">
        <f>1434</f>
        <v>1434</v>
      </c>
    </row>
    <row r="33" spans="1:45" x14ac:dyDescent="0.2">
      <c r="A33" s="40" t="s">
        <v>161</v>
      </c>
      <c r="B33" s="78">
        <f t="shared" si="0"/>
        <v>7440</v>
      </c>
      <c r="C33" s="78">
        <f t="shared" si="1"/>
        <v>5000</v>
      </c>
      <c r="D33" s="78">
        <f t="shared" si="2"/>
        <v>6664</v>
      </c>
      <c r="E33" s="78">
        <f t="shared" si="3"/>
        <v>8369</v>
      </c>
      <c r="F33" s="78">
        <f t="shared" si="4"/>
        <v>5429</v>
      </c>
      <c r="G33" s="78">
        <f t="shared" si="5"/>
        <v>4902</v>
      </c>
      <c r="H33" s="78">
        <f t="shared" si="6"/>
        <v>7893</v>
      </c>
      <c r="I33" s="78">
        <f t="shared" si="7"/>
        <v>-700</v>
      </c>
      <c r="J33" s="78">
        <f t="shared" si="8"/>
        <v>186</v>
      </c>
      <c r="K33" s="78">
        <f t="shared" si="9"/>
        <v>2036</v>
      </c>
      <c r="L33" s="34">
        <f t="shared" si="10"/>
        <v>3007</v>
      </c>
      <c r="M33" s="34">
        <f t="shared" si="11"/>
        <v>13001</v>
      </c>
      <c r="N33" s="34">
        <v>-3370</v>
      </c>
      <c r="O33" s="34">
        <f>-6914</f>
        <v>-6914</v>
      </c>
      <c r="P33" s="40"/>
      <c r="Q33" s="78">
        <v>2751</v>
      </c>
      <c r="R33" s="78">
        <v>4689</v>
      </c>
      <c r="S33" s="78">
        <v>2369</v>
      </c>
      <c r="T33" s="78">
        <v>2631</v>
      </c>
      <c r="U33" s="78">
        <v>3098</v>
      </c>
      <c r="V33" s="78">
        <v>3566</v>
      </c>
      <c r="W33" s="78">
        <v>927</v>
      </c>
      <c r="X33" s="78">
        <v>7442</v>
      </c>
      <c r="Y33" s="78">
        <v>2193</v>
      </c>
      <c r="Z33" s="78">
        <v>3236</v>
      </c>
      <c r="AA33" s="78">
        <v>1308</v>
      </c>
      <c r="AB33" s="78">
        <v>3594</v>
      </c>
      <c r="AC33" s="78">
        <v>2122</v>
      </c>
      <c r="AD33" s="78">
        <v>5771</v>
      </c>
      <c r="AE33" s="78">
        <v>-1981</v>
      </c>
      <c r="AF33" s="78">
        <v>1281</v>
      </c>
      <c r="AG33" s="78">
        <v>559</v>
      </c>
      <c r="AH33" s="78">
        <v>-373</v>
      </c>
      <c r="AI33" s="78">
        <v>-1771</v>
      </c>
      <c r="AJ33" s="78">
        <v>3807</v>
      </c>
      <c r="AK33" s="34">
        <v>1295</v>
      </c>
      <c r="AL33" s="34">
        <v>1712</v>
      </c>
      <c r="AM33" s="34">
        <f>AM31+AM32</f>
        <v>11672</v>
      </c>
      <c r="AN33" s="34">
        <v>1329</v>
      </c>
      <c r="AO33" s="34">
        <f>AO31+AO32</f>
        <v>-2119</v>
      </c>
      <c r="AP33" s="34">
        <f t="shared" si="12"/>
        <v>-1251</v>
      </c>
      <c r="AQ33" s="34">
        <f>AQ31+AQ32</f>
        <v>-1497</v>
      </c>
      <c r="AR33" s="34">
        <f t="shared" si="15"/>
        <v>-5417</v>
      </c>
      <c r="AS33" s="34">
        <f>AS31+AS32</f>
        <v>-8940</v>
      </c>
    </row>
    <row r="34" spans="1:45" x14ac:dyDescent="0.2">
      <c r="A34" s="38" t="s">
        <v>162</v>
      </c>
      <c r="B34" s="79">
        <f t="shared" si="0"/>
        <v>7440</v>
      </c>
      <c r="C34" s="79">
        <f t="shared" si="1"/>
        <v>5000</v>
      </c>
      <c r="D34" s="79">
        <f t="shared" si="2"/>
        <v>6664</v>
      </c>
      <c r="E34" s="79">
        <f t="shared" si="3"/>
        <v>8369</v>
      </c>
      <c r="F34" s="79">
        <f t="shared" si="4"/>
        <v>5429</v>
      </c>
      <c r="G34" s="79">
        <f t="shared" si="5"/>
        <v>4902</v>
      </c>
      <c r="H34" s="79">
        <f t="shared" si="6"/>
        <v>7893</v>
      </c>
      <c r="I34" s="79">
        <f t="shared" si="7"/>
        <v>-700</v>
      </c>
      <c r="J34" s="79">
        <f t="shared" si="8"/>
        <v>186</v>
      </c>
      <c r="K34" s="79">
        <f t="shared" si="9"/>
        <v>2036</v>
      </c>
      <c r="L34" s="79">
        <f t="shared" si="10"/>
        <v>3007</v>
      </c>
      <c r="M34" s="79">
        <f t="shared" si="11"/>
        <v>13001</v>
      </c>
      <c r="N34" s="79">
        <v>-3370</v>
      </c>
      <c r="O34" s="79">
        <f>-6914</f>
        <v>-6914</v>
      </c>
      <c r="P34" s="32"/>
      <c r="Q34" s="79">
        <v>2751</v>
      </c>
      <c r="R34" s="79">
        <v>4689</v>
      </c>
      <c r="S34" s="79">
        <v>2369</v>
      </c>
      <c r="T34" s="79">
        <v>2631</v>
      </c>
      <c r="U34" s="79">
        <v>3098</v>
      </c>
      <c r="V34" s="79">
        <v>3566</v>
      </c>
      <c r="W34" s="79">
        <v>927</v>
      </c>
      <c r="X34" s="79">
        <v>7442</v>
      </c>
      <c r="Y34" s="79">
        <v>2193</v>
      </c>
      <c r="Z34" s="79">
        <v>3236</v>
      </c>
      <c r="AA34" s="79">
        <v>1308</v>
      </c>
      <c r="AB34" s="79">
        <v>3594</v>
      </c>
      <c r="AC34" s="79">
        <v>2122</v>
      </c>
      <c r="AD34" s="79">
        <v>5771</v>
      </c>
      <c r="AE34" s="79">
        <v>-1981</v>
      </c>
      <c r="AF34" s="79">
        <v>1281</v>
      </c>
      <c r="AG34" s="79">
        <v>559</v>
      </c>
      <c r="AH34" s="79">
        <v>-373</v>
      </c>
      <c r="AI34" s="79">
        <v>-1771</v>
      </c>
      <c r="AJ34" s="79">
        <v>3807</v>
      </c>
      <c r="AK34" s="80">
        <v>1295</v>
      </c>
      <c r="AL34" s="62">
        <v>1712</v>
      </c>
      <c r="AM34" s="62">
        <f>AM33</f>
        <v>11672</v>
      </c>
      <c r="AN34" s="62">
        <v>1329</v>
      </c>
      <c r="AO34" s="62">
        <f>AO33</f>
        <v>-2119</v>
      </c>
      <c r="AP34" s="62">
        <f t="shared" si="12"/>
        <v>-1251</v>
      </c>
      <c r="AQ34" s="62">
        <f>AQ33</f>
        <v>-1497</v>
      </c>
      <c r="AR34" s="62">
        <f t="shared" si="15"/>
        <v>-5417</v>
      </c>
      <c r="AS34" s="62">
        <f>AS33</f>
        <v>-8940</v>
      </c>
    </row>
    <row r="35" spans="1:45" x14ac:dyDescent="0.2">
      <c r="B35" s="34">
        <f t="shared" si="0"/>
        <v>0</v>
      </c>
      <c r="C35" s="34">
        <f t="shared" si="1"/>
        <v>0</v>
      </c>
      <c r="D35" s="34">
        <f t="shared" si="2"/>
        <v>0</v>
      </c>
      <c r="E35" s="34">
        <f t="shared" si="3"/>
        <v>0</v>
      </c>
      <c r="F35" s="34">
        <f t="shared" si="4"/>
        <v>0</v>
      </c>
      <c r="G35" s="34">
        <f t="shared" si="5"/>
        <v>0</v>
      </c>
      <c r="H35" s="34">
        <f t="shared" si="6"/>
        <v>0</v>
      </c>
      <c r="I35" s="34">
        <f t="shared" si="7"/>
        <v>0</v>
      </c>
      <c r="J35" s="34">
        <f t="shared" si="8"/>
        <v>0</v>
      </c>
      <c r="K35" s="34">
        <f t="shared" si="9"/>
        <v>0</v>
      </c>
      <c r="L35" s="34">
        <f t="shared" si="10"/>
        <v>0</v>
      </c>
      <c r="M35" s="34">
        <f t="shared" si="11"/>
        <v>0</v>
      </c>
      <c r="N35" s="34">
        <f ca="1">SUM(AO35:AP35)</f>
        <v>0</v>
      </c>
      <c r="O35" s="34">
        <f>SUM(AQ35:AR35)</f>
        <v>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L35" s="34"/>
      <c r="AM35" s="34"/>
      <c r="AN35" s="34"/>
      <c r="AO35" s="34"/>
      <c r="AP35" s="34">
        <f t="shared" ca="1" si="12"/>
        <v>0</v>
      </c>
      <c r="AQ35" s="34"/>
      <c r="AR35" s="34"/>
      <c r="AS35" s="34"/>
    </row>
    <row r="36" spans="1:45" x14ac:dyDescent="0.2">
      <c r="A36" s="42" t="s">
        <v>163</v>
      </c>
      <c r="B36" s="82">
        <f t="shared" si="0"/>
        <v>0</v>
      </c>
      <c r="C36" s="82">
        <f t="shared" si="1"/>
        <v>0</v>
      </c>
      <c r="D36" s="82">
        <f t="shared" si="2"/>
        <v>0</v>
      </c>
      <c r="E36" s="82">
        <f t="shared" si="3"/>
        <v>0</v>
      </c>
      <c r="F36" s="82">
        <f t="shared" si="4"/>
        <v>0</v>
      </c>
      <c r="G36" s="82">
        <f t="shared" si="5"/>
        <v>0</v>
      </c>
      <c r="H36" s="82">
        <f t="shared" si="6"/>
        <v>0</v>
      </c>
      <c r="I36" s="82">
        <f t="shared" si="7"/>
        <v>0</v>
      </c>
      <c r="J36" s="82">
        <f t="shared" si="8"/>
        <v>0</v>
      </c>
      <c r="K36" s="82">
        <f t="shared" si="9"/>
        <v>0</v>
      </c>
      <c r="L36" s="34">
        <f t="shared" si="10"/>
        <v>0</v>
      </c>
      <c r="M36" s="34">
        <f t="shared" si="11"/>
        <v>0</v>
      </c>
      <c r="N36" s="34">
        <f ca="1">SUM(AO36:AP36)</f>
        <v>0</v>
      </c>
      <c r="O36" s="34">
        <f>SUM(AQ36:AR36)</f>
        <v>0</v>
      </c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L36" s="34"/>
      <c r="AM36" s="34"/>
      <c r="AN36" s="34"/>
      <c r="AO36" s="34"/>
      <c r="AP36" s="34">
        <f t="shared" ca="1" si="12"/>
        <v>0</v>
      </c>
      <c r="AQ36" s="34"/>
      <c r="AR36" s="34"/>
      <c r="AS36" s="34"/>
    </row>
    <row r="37" spans="1:45" x14ac:dyDescent="0.2">
      <c r="A37" s="6" t="s">
        <v>164</v>
      </c>
      <c r="B37" s="34">
        <f t="shared" si="0"/>
        <v>7332</v>
      </c>
      <c r="C37" s="34">
        <f t="shared" si="1"/>
        <v>4979</v>
      </c>
      <c r="D37" s="34">
        <f t="shared" si="2"/>
        <v>6629</v>
      </c>
      <c r="E37" s="34">
        <f t="shared" si="3"/>
        <v>8345</v>
      </c>
      <c r="F37" s="34">
        <f t="shared" si="4"/>
        <v>5399</v>
      </c>
      <c r="G37" s="34">
        <f t="shared" si="5"/>
        <v>4902</v>
      </c>
      <c r="H37" s="34">
        <f t="shared" si="6"/>
        <v>7890</v>
      </c>
      <c r="I37" s="34">
        <f t="shared" si="7"/>
        <v>-702</v>
      </c>
      <c r="J37" s="34">
        <f t="shared" si="8"/>
        <v>795</v>
      </c>
      <c r="K37" s="34">
        <f t="shared" si="9"/>
        <v>2036</v>
      </c>
      <c r="L37" s="83">
        <f t="shared" si="10"/>
        <v>3007</v>
      </c>
      <c r="M37" s="83">
        <f t="shared" si="11"/>
        <v>12948</v>
      </c>
      <c r="N37" s="83">
        <v>-3370</v>
      </c>
      <c r="O37" s="83">
        <f>-6914</f>
        <v>-6914</v>
      </c>
      <c r="Q37" s="34">
        <v>2723</v>
      </c>
      <c r="R37" s="34">
        <v>4609</v>
      </c>
      <c r="S37" s="34">
        <v>2342</v>
      </c>
      <c r="T37" s="34">
        <v>2637</v>
      </c>
      <c r="U37" s="34">
        <v>3083</v>
      </c>
      <c r="V37" s="34">
        <v>3546</v>
      </c>
      <c r="W37" s="34">
        <v>927</v>
      </c>
      <c r="X37" s="34">
        <v>7418</v>
      </c>
      <c r="Y37" s="34">
        <v>2188</v>
      </c>
      <c r="Z37" s="34">
        <v>3211</v>
      </c>
      <c r="AA37" s="34">
        <v>1307</v>
      </c>
      <c r="AB37" s="34">
        <v>3595</v>
      </c>
      <c r="AC37" s="34">
        <v>2118</v>
      </c>
      <c r="AD37" s="34">
        <v>5772</v>
      </c>
      <c r="AE37" s="34">
        <v>-1982</v>
      </c>
      <c r="AF37" s="34">
        <v>1280</v>
      </c>
      <c r="AG37" s="34">
        <v>1142</v>
      </c>
      <c r="AH37" s="34">
        <v>-347</v>
      </c>
      <c r="AI37" s="34">
        <v>-1772</v>
      </c>
      <c r="AJ37" s="34">
        <v>3808</v>
      </c>
      <c r="AK37" s="83">
        <v>1295</v>
      </c>
      <c r="AL37" s="83">
        <v>1712</v>
      </c>
      <c r="AM37" s="83">
        <v>11663</v>
      </c>
      <c r="AN37" s="83">
        <v>1285</v>
      </c>
      <c r="AO37" s="83">
        <f>AO34-AO38</f>
        <v>-2119</v>
      </c>
      <c r="AP37" s="83">
        <f t="shared" si="12"/>
        <v>-1251</v>
      </c>
      <c r="AQ37" s="83">
        <f>AQ34-AQ38</f>
        <v>-1497</v>
      </c>
      <c r="AR37" s="83">
        <f>O37-AQ37</f>
        <v>-5417</v>
      </c>
      <c r="AS37" s="83">
        <f>AS34-AS38</f>
        <v>-8940</v>
      </c>
    </row>
    <row r="38" spans="1:45" x14ac:dyDescent="0.2">
      <c r="A38" s="6" t="s">
        <v>165</v>
      </c>
      <c r="B38" s="34">
        <f t="shared" si="0"/>
        <v>108</v>
      </c>
      <c r="C38" s="34">
        <f t="shared" si="1"/>
        <v>21</v>
      </c>
      <c r="D38" s="34">
        <f t="shared" si="2"/>
        <v>35</v>
      </c>
      <c r="E38" s="34">
        <f t="shared" si="3"/>
        <v>24</v>
      </c>
      <c r="F38" s="34">
        <f t="shared" si="4"/>
        <v>30</v>
      </c>
      <c r="G38" s="34">
        <f t="shared" si="5"/>
        <v>0</v>
      </c>
      <c r="H38" s="34">
        <f t="shared" si="6"/>
        <v>3</v>
      </c>
      <c r="I38" s="34">
        <f t="shared" si="7"/>
        <v>2</v>
      </c>
      <c r="J38" s="34">
        <f t="shared" si="8"/>
        <v>-609</v>
      </c>
      <c r="K38" s="34">
        <f t="shared" si="9"/>
        <v>0</v>
      </c>
      <c r="L38" s="34">
        <f t="shared" si="10"/>
        <v>0</v>
      </c>
      <c r="M38" s="34">
        <f t="shared" si="11"/>
        <v>53</v>
      </c>
      <c r="N38" s="34">
        <v>0</v>
      </c>
      <c r="O38" s="34">
        <f>0</f>
        <v>0</v>
      </c>
      <c r="Q38" s="34">
        <v>28</v>
      </c>
      <c r="R38" s="34">
        <v>80</v>
      </c>
      <c r="S38" s="34">
        <v>27</v>
      </c>
      <c r="T38" s="34">
        <v>-6</v>
      </c>
      <c r="U38" s="34">
        <v>15</v>
      </c>
      <c r="V38" s="34">
        <v>20</v>
      </c>
      <c r="W38" s="34">
        <v>0</v>
      </c>
      <c r="X38" s="34">
        <v>24</v>
      </c>
      <c r="Y38" s="34">
        <v>5</v>
      </c>
      <c r="Z38" s="34">
        <v>25</v>
      </c>
      <c r="AA38" s="34">
        <v>1</v>
      </c>
      <c r="AB38" s="34">
        <v>-1</v>
      </c>
      <c r="AC38" s="34">
        <v>4</v>
      </c>
      <c r="AD38" s="34">
        <v>-1</v>
      </c>
      <c r="AE38" s="34">
        <v>1</v>
      </c>
      <c r="AF38" s="34">
        <v>1</v>
      </c>
      <c r="AG38" s="34">
        <v>-583</v>
      </c>
      <c r="AH38" s="34">
        <v>-26</v>
      </c>
      <c r="AI38" s="34">
        <v>1</v>
      </c>
      <c r="AJ38" s="34">
        <v>-1</v>
      </c>
      <c r="AK38" s="34">
        <v>0</v>
      </c>
      <c r="AL38" s="34">
        <v>0</v>
      </c>
      <c r="AM38" s="34">
        <v>9</v>
      </c>
      <c r="AN38" s="34">
        <v>44</v>
      </c>
      <c r="AO38" s="34">
        <v>0</v>
      </c>
      <c r="AP38" s="34">
        <f t="shared" si="12"/>
        <v>0</v>
      </c>
      <c r="AQ38" s="34">
        <f>0</f>
        <v>0</v>
      </c>
      <c r="AR38" s="34">
        <f t="shared" ref="AR38" si="16">O38-AQ38</f>
        <v>0</v>
      </c>
      <c r="AS38" s="34">
        <f>0</f>
        <v>0</v>
      </c>
    </row>
    <row r="39" spans="1:45" x14ac:dyDescent="0.2">
      <c r="A39" s="38" t="s">
        <v>161</v>
      </c>
      <c r="B39" s="79">
        <f t="shared" si="0"/>
        <v>7440</v>
      </c>
      <c r="C39" s="79">
        <f t="shared" si="1"/>
        <v>5000</v>
      </c>
      <c r="D39" s="79">
        <f t="shared" si="2"/>
        <v>6664</v>
      </c>
      <c r="E39" s="79">
        <f t="shared" si="3"/>
        <v>8369</v>
      </c>
      <c r="F39" s="79">
        <f t="shared" si="4"/>
        <v>5429</v>
      </c>
      <c r="G39" s="79">
        <f t="shared" si="5"/>
        <v>4902</v>
      </c>
      <c r="H39" s="79">
        <f t="shared" si="6"/>
        <v>7893</v>
      </c>
      <c r="I39" s="79">
        <f t="shared" si="7"/>
        <v>-700</v>
      </c>
      <c r="J39" s="79">
        <f t="shared" si="8"/>
        <v>186</v>
      </c>
      <c r="K39" s="79">
        <f t="shared" si="9"/>
        <v>2036</v>
      </c>
      <c r="L39" s="79">
        <f t="shared" si="10"/>
        <v>3007</v>
      </c>
      <c r="M39" s="79">
        <f t="shared" si="11"/>
        <v>13001</v>
      </c>
      <c r="N39" s="79">
        <v>-3370</v>
      </c>
      <c r="O39" s="79">
        <f>-6914</f>
        <v>-6914</v>
      </c>
      <c r="P39" s="32"/>
      <c r="Q39" s="79">
        <v>2751</v>
      </c>
      <c r="R39" s="79">
        <v>4689</v>
      </c>
      <c r="S39" s="79">
        <v>2369</v>
      </c>
      <c r="T39" s="79">
        <v>2631</v>
      </c>
      <c r="U39" s="79">
        <v>3098</v>
      </c>
      <c r="V39" s="79">
        <v>3566</v>
      </c>
      <c r="W39" s="79">
        <v>927</v>
      </c>
      <c r="X39" s="79">
        <v>7442</v>
      </c>
      <c r="Y39" s="79">
        <v>2193</v>
      </c>
      <c r="Z39" s="79">
        <v>3236</v>
      </c>
      <c r="AA39" s="79">
        <v>1308</v>
      </c>
      <c r="AB39" s="79">
        <v>3594</v>
      </c>
      <c r="AC39" s="79">
        <v>2122</v>
      </c>
      <c r="AD39" s="79">
        <v>5771</v>
      </c>
      <c r="AE39" s="79">
        <v>-1981</v>
      </c>
      <c r="AF39" s="79">
        <v>1281</v>
      </c>
      <c r="AG39" s="79">
        <v>559</v>
      </c>
      <c r="AH39" s="79">
        <v>-373</v>
      </c>
      <c r="AI39" s="79">
        <v>-1771</v>
      </c>
      <c r="AJ39" s="79">
        <v>3807</v>
      </c>
      <c r="AK39" s="62">
        <v>1295</v>
      </c>
      <c r="AL39" s="62">
        <v>1712</v>
      </c>
      <c r="AM39" s="62">
        <f>SUM(AM37:AM38)</f>
        <v>11672</v>
      </c>
      <c r="AN39" s="62">
        <v>1329</v>
      </c>
      <c r="AO39" s="62">
        <f>SUM(AO37:AO38)</f>
        <v>-2119</v>
      </c>
      <c r="AP39" s="62">
        <f t="shared" si="12"/>
        <v>-1251</v>
      </c>
      <c r="AQ39" s="62">
        <f>SUM(AQ37:AQ38)</f>
        <v>-1497</v>
      </c>
      <c r="AR39" s="62">
        <f>O39-AQ39</f>
        <v>-5417</v>
      </c>
      <c r="AS39" s="62">
        <f>SUM(AS37:AS38)</f>
        <v>-8940</v>
      </c>
    </row>
    <row r="40" spans="1:45" x14ac:dyDescent="0.2">
      <c r="B40" s="34">
        <f t="shared" si="0"/>
        <v>0</v>
      </c>
      <c r="C40" s="34">
        <f t="shared" si="1"/>
        <v>0</v>
      </c>
      <c r="D40" s="34">
        <f t="shared" si="2"/>
        <v>0</v>
      </c>
      <c r="E40" s="34">
        <f t="shared" si="3"/>
        <v>0</v>
      </c>
      <c r="F40" s="34">
        <f t="shared" si="4"/>
        <v>0</v>
      </c>
      <c r="G40" s="34">
        <f t="shared" si="5"/>
        <v>0</v>
      </c>
      <c r="H40" s="34">
        <f t="shared" si="6"/>
        <v>0</v>
      </c>
      <c r="I40" s="34">
        <f t="shared" si="7"/>
        <v>0</v>
      </c>
      <c r="J40" s="34">
        <f t="shared" si="8"/>
        <v>0</v>
      </c>
      <c r="K40" s="34">
        <f t="shared" si="9"/>
        <v>0</v>
      </c>
      <c r="L40" s="34">
        <f t="shared" si="10"/>
        <v>0</v>
      </c>
      <c r="M40" s="34">
        <f t="shared" si="11"/>
        <v>0</v>
      </c>
      <c r="N40" s="34">
        <f ca="1">SUM(AO40:AP40)</f>
        <v>0</v>
      </c>
      <c r="O40" s="34">
        <f t="shared" ref="O40:O41" si="17">SUM(AQ40:AR40)</f>
        <v>0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L40" s="34"/>
      <c r="AM40" s="34"/>
      <c r="AN40" s="34"/>
      <c r="AO40" s="34"/>
      <c r="AP40" s="34">
        <f t="shared" ca="1" si="12"/>
        <v>0</v>
      </c>
      <c r="AQ40" s="34"/>
      <c r="AR40" s="34"/>
      <c r="AS40" s="34"/>
    </row>
    <row r="41" spans="1:45" x14ac:dyDescent="0.2">
      <c r="A41" s="42" t="s">
        <v>166</v>
      </c>
      <c r="B41" s="82">
        <f t="shared" si="0"/>
        <v>0</v>
      </c>
      <c r="C41" s="82">
        <f t="shared" si="1"/>
        <v>0</v>
      </c>
      <c r="D41" s="82">
        <f t="shared" si="2"/>
        <v>0</v>
      </c>
      <c r="E41" s="82">
        <f t="shared" si="3"/>
        <v>0</v>
      </c>
      <c r="F41" s="82">
        <f t="shared" si="4"/>
        <v>0</v>
      </c>
      <c r="G41" s="82">
        <f t="shared" si="5"/>
        <v>0</v>
      </c>
      <c r="H41" s="82">
        <f t="shared" si="6"/>
        <v>0</v>
      </c>
      <c r="I41" s="82">
        <f t="shared" si="7"/>
        <v>0</v>
      </c>
      <c r="J41" s="82">
        <f t="shared" si="8"/>
        <v>0</v>
      </c>
      <c r="K41" s="82">
        <f t="shared" si="9"/>
        <v>0</v>
      </c>
      <c r="L41" s="34">
        <f t="shared" si="10"/>
        <v>0</v>
      </c>
      <c r="M41" s="34">
        <f t="shared" si="11"/>
        <v>0</v>
      </c>
      <c r="N41" s="34">
        <f ca="1">SUM(AO41:AP41)</f>
        <v>0</v>
      </c>
      <c r="O41" s="34">
        <f t="shared" si="17"/>
        <v>0</v>
      </c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L41" s="34"/>
      <c r="AM41" s="34"/>
      <c r="AN41" s="34"/>
      <c r="AO41" s="34"/>
      <c r="AP41" s="34">
        <f t="shared" ca="1" si="12"/>
        <v>0</v>
      </c>
      <c r="AQ41" s="34"/>
      <c r="AR41" s="34"/>
      <c r="AS41" s="34"/>
    </row>
    <row r="42" spans="1:45" x14ac:dyDescent="0.2">
      <c r="A42" s="6" t="s">
        <v>164</v>
      </c>
      <c r="B42" s="34">
        <f t="shared" si="0"/>
        <v>7332</v>
      </c>
      <c r="C42" s="34">
        <f t="shared" si="1"/>
        <v>4979</v>
      </c>
      <c r="D42" s="34">
        <f t="shared" si="2"/>
        <v>6629</v>
      </c>
      <c r="E42" s="34">
        <f t="shared" si="3"/>
        <v>8345</v>
      </c>
      <c r="F42" s="34">
        <f t="shared" si="4"/>
        <v>5399</v>
      </c>
      <c r="G42" s="34">
        <f t="shared" si="5"/>
        <v>4902</v>
      </c>
      <c r="H42" s="34">
        <f t="shared" si="6"/>
        <v>7890</v>
      </c>
      <c r="I42" s="34">
        <f t="shared" si="7"/>
        <v>-702</v>
      </c>
      <c r="J42" s="34">
        <f t="shared" si="8"/>
        <v>795</v>
      </c>
      <c r="K42" s="34">
        <f t="shared" si="9"/>
        <v>2036</v>
      </c>
      <c r="L42" s="83">
        <f t="shared" si="10"/>
        <v>3007</v>
      </c>
      <c r="M42" s="83">
        <f t="shared" si="11"/>
        <v>12948</v>
      </c>
      <c r="N42" s="83">
        <v>-3370</v>
      </c>
      <c r="O42" s="83">
        <f>-6914</f>
        <v>-6914</v>
      </c>
      <c r="Q42" s="34">
        <v>2723</v>
      </c>
      <c r="R42" s="34">
        <v>4609</v>
      </c>
      <c r="S42" s="34">
        <v>2342</v>
      </c>
      <c r="T42" s="34">
        <v>2637</v>
      </c>
      <c r="U42" s="34">
        <v>3083</v>
      </c>
      <c r="V42" s="34">
        <v>3546</v>
      </c>
      <c r="W42" s="34">
        <v>927</v>
      </c>
      <c r="X42" s="34">
        <v>7418</v>
      </c>
      <c r="Y42" s="34">
        <v>2188</v>
      </c>
      <c r="Z42" s="34">
        <v>3211</v>
      </c>
      <c r="AA42" s="34">
        <v>1307</v>
      </c>
      <c r="AB42" s="34">
        <v>3595</v>
      </c>
      <c r="AC42" s="34">
        <v>2118</v>
      </c>
      <c r="AD42" s="34">
        <v>5772</v>
      </c>
      <c r="AE42" s="34">
        <v>-1982</v>
      </c>
      <c r="AF42" s="34">
        <v>1280</v>
      </c>
      <c r="AG42" s="34">
        <v>1142</v>
      </c>
      <c r="AH42" s="34">
        <v>-347</v>
      </c>
      <c r="AI42" s="34">
        <v>-1772</v>
      </c>
      <c r="AJ42" s="34">
        <v>3808</v>
      </c>
      <c r="AK42" s="83">
        <v>1295</v>
      </c>
      <c r="AL42" s="83">
        <v>1712</v>
      </c>
      <c r="AM42" s="83">
        <v>11663</v>
      </c>
      <c r="AN42" s="83">
        <v>1285</v>
      </c>
      <c r="AO42" s="83">
        <f>AO37</f>
        <v>-2119</v>
      </c>
      <c r="AP42" s="83">
        <f t="shared" si="12"/>
        <v>-1251</v>
      </c>
      <c r="AQ42" s="83">
        <f>AQ37</f>
        <v>-1497</v>
      </c>
      <c r="AR42" s="83">
        <f>O42-AQ42</f>
        <v>-5417</v>
      </c>
      <c r="AS42" s="83">
        <f>AS37</f>
        <v>-8940</v>
      </c>
    </row>
    <row r="43" spans="1:45" x14ac:dyDescent="0.2">
      <c r="A43" s="6" t="s">
        <v>165</v>
      </c>
      <c r="B43" s="34">
        <f t="shared" si="0"/>
        <v>108</v>
      </c>
      <c r="C43" s="34">
        <f t="shared" si="1"/>
        <v>21</v>
      </c>
      <c r="D43" s="34">
        <f t="shared" si="2"/>
        <v>35</v>
      </c>
      <c r="E43" s="34">
        <f t="shared" si="3"/>
        <v>24</v>
      </c>
      <c r="F43" s="34">
        <f t="shared" si="4"/>
        <v>30</v>
      </c>
      <c r="G43" s="34">
        <f t="shared" si="5"/>
        <v>0</v>
      </c>
      <c r="H43" s="34">
        <f t="shared" si="6"/>
        <v>3</v>
      </c>
      <c r="I43" s="34">
        <f t="shared" si="7"/>
        <v>2</v>
      </c>
      <c r="J43" s="34">
        <f t="shared" si="8"/>
        <v>-609</v>
      </c>
      <c r="K43" s="34">
        <f t="shared" si="9"/>
        <v>0</v>
      </c>
      <c r="L43" s="34">
        <f t="shared" si="10"/>
        <v>0</v>
      </c>
      <c r="M43" s="34">
        <f t="shared" si="11"/>
        <v>53</v>
      </c>
      <c r="N43" s="34">
        <v>0</v>
      </c>
      <c r="O43" s="34">
        <f>0</f>
        <v>0</v>
      </c>
      <c r="Q43" s="34">
        <v>28</v>
      </c>
      <c r="R43" s="34">
        <v>80</v>
      </c>
      <c r="S43" s="34">
        <v>27</v>
      </c>
      <c r="T43" s="34">
        <v>-6</v>
      </c>
      <c r="U43" s="34">
        <v>15</v>
      </c>
      <c r="V43" s="34">
        <v>20</v>
      </c>
      <c r="W43" s="34">
        <v>0</v>
      </c>
      <c r="X43" s="34">
        <v>24</v>
      </c>
      <c r="Y43" s="34">
        <v>5</v>
      </c>
      <c r="Z43" s="34">
        <v>25</v>
      </c>
      <c r="AA43" s="34">
        <v>1</v>
      </c>
      <c r="AB43" s="34">
        <v>-1</v>
      </c>
      <c r="AC43" s="34">
        <v>4</v>
      </c>
      <c r="AD43" s="34">
        <v>-1</v>
      </c>
      <c r="AE43" s="34">
        <v>1</v>
      </c>
      <c r="AF43" s="34">
        <v>1</v>
      </c>
      <c r="AG43" s="34">
        <v>-583</v>
      </c>
      <c r="AH43" s="34">
        <v>-26</v>
      </c>
      <c r="AI43" s="34">
        <v>1</v>
      </c>
      <c r="AJ43" s="34">
        <v>-1</v>
      </c>
      <c r="AK43" s="34">
        <v>0</v>
      </c>
      <c r="AL43" s="34">
        <v>0</v>
      </c>
      <c r="AM43" s="34">
        <v>9</v>
      </c>
      <c r="AN43" s="34">
        <v>44</v>
      </c>
      <c r="AO43" s="34">
        <v>0</v>
      </c>
      <c r="AP43" s="34">
        <f t="shared" si="12"/>
        <v>0</v>
      </c>
      <c r="AQ43" s="34">
        <v>0</v>
      </c>
      <c r="AR43" s="34">
        <f t="shared" ref="AR43" si="18">O43-AQ43</f>
        <v>0</v>
      </c>
      <c r="AS43" s="34">
        <v>0</v>
      </c>
    </row>
    <row r="44" spans="1:45" x14ac:dyDescent="0.2">
      <c r="A44" s="38" t="s">
        <v>162</v>
      </c>
      <c r="B44" s="79">
        <f t="shared" si="0"/>
        <v>7440</v>
      </c>
      <c r="C44" s="79">
        <f t="shared" si="1"/>
        <v>5000</v>
      </c>
      <c r="D44" s="79">
        <f t="shared" si="2"/>
        <v>6664</v>
      </c>
      <c r="E44" s="79">
        <f t="shared" si="3"/>
        <v>8369</v>
      </c>
      <c r="F44" s="79">
        <f t="shared" si="4"/>
        <v>5429</v>
      </c>
      <c r="G44" s="79">
        <f t="shared" si="5"/>
        <v>4902</v>
      </c>
      <c r="H44" s="79">
        <f t="shared" si="6"/>
        <v>7893</v>
      </c>
      <c r="I44" s="79">
        <f t="shared" si="7"/>
        <v>-700</v>
      </c>
      <c r="J44" s="79">
        <f t="shared" si="8"/>
        <v>186</v>
      </c>
      <c r="K44" s="79">
        <f t="shared" si="9"/>
        <v>2036</v>
      </c>
      <c r="L44" s="79">
        <f t="shared" si="10"/>
        <v>3007</v>
      </c>
      <c r="M44" s="79">
        <f t="shared" si="11"/>
        <v>13001</v>
      </c>
      <c r="N44" s="79">
        <v>-3370</v>
      </c>
      <c r="O44" s="79">
        <f>-6914</f>
        <v>-6914</v>
      </c>
      <c r="P44" s="32"/>
      <c r="Q44" s="79">
        <v>2751</v>
      </c>
      <c r="R44" s="79">
        <v>4689</v>
      </c>
      <c r="S44" s="79">
        <v>2369</v>
      </c>
      <c r="T44" s="79">
        <v>2631</v>
      </c>
      <c r="U44" s="79">
        <v>3098</v>
      </c>
      <c r="V44" s="79">
        <v>3566</v>
      </c>
      <c r="W44" s="79">
        <v>927</v>
      </c>
      <c r="X44" s="79">
        <v>7442</v>
      </c>
      <c r="Y44" s="79">
        <v>2193</v>
      </c>
      <c r="Z44" s="79">
        <v>3236</v>
      </c>
      <c r="AA44" s="79">
        <v>1308</v>
      </c>
      <c r="AB44" s="79">
        <v>3594</v>
      </c>
      <c r="AC44" s="79">
        <v>2122</v>
      </c>
      <c r="AD44" s="79">
        <v>5771</v>
      </c>
      <c r="AE44" s="79">
        <v>-1981</v>
      </c>
      <c r="AF44" s="79">
        <v>1281</v>
      </c>
      <c r="AG44" s="79">
        <v>559</v>
      </c>
      <c r="AH44" s="79">
        <v>-373</v>
      </c>
      <c r="AI44" s="79">
        <v>-1771</v>
      </c>
      <c r="AJ44" s="79">
        <v>3807</v>
      </c>
      <c r="AK44" s="62">
        <v>1295</v>
      </c>
      <c r="AL44" s="62">
        <v>1712</v>
      </c>
      <c r="AM44" s="62">
        <f>SUM(AM42:AM43)</f>
        <v>11672</v>
      </c>
      <c r="AN44" s="62">
        <v>1329</v>
      </c>
      <c r="AO44" s="62">
        <f>SUM(AO42:AO43)</f>
        <v>-2119</v>
      </c>
      <c r="AP44" s="62">
        <f t="shared" si="12"/>
        <v>-1251</v>
      </c>
      <c r="AQ44" s="62">
        <f>SUM(AQ42:AQ43)</f>
        <v>-1497</v>
      </c>
      <c r="AR44" s="62">
        <f>O44-AQ44</f>
        <v>-5417</v>
      </c>
      <c r="AS44" s="62">
        <f>SUM(AS42:AS43)</f>
        <v>-8940</v>
      </c>
    </row>
    <row r="45" spans="1:45" x14ac:dyDescent="0.2">
      <c r="A45" s="6"/>
      <c r="AB45" s="84"/>
      <c r="AQ45" s="6"/>
      <c r="AR45" s="6"/>
      <c r="AS45" s="6"/>
    </row>
    <row r="46" spans="1:45" x14ac:dyDescent="0.2">
      <c r="A46" s="6"/>
      <c r="AB46" s="84"/>
      <c r="AQ46" s="6"/>
      <c r="AR46" s="6"/>
      <c r="AS46" s="6"/>
    </row>
    <row r="47" spans="1:45" ht="18" x14ac:dyDescent="0.25">
      <c r="A47" s="54" t="s">
        <v>9</v>
      </c>
      <c r="AQ47" s="6"/>
      <c r="AR47" s="6"/>
      <c r="AS47" s="6"/>
    </row>
    <row r="48" spans="1:45" x14ac:dyDescent="0.2">
      <c r="A48" s="35" t="s">
        <v>1</v>
      </c>
      <c r="AQ48" s="6"/>
      <c r="AR48" s="6"/>
      <c r="AS48" s="6"/>
    </row>
    <row r="49" spans="1:45" x14ac:dyDescent="0.2">
      <c r="AQ49" s="6"/>
      <c r="AR49" s="6"/>
      <c r="AS49" s="6"/>
    </row>
    <row r="50" spans="1:45" x14ac:dyDescent="0.2">
      <c r="A50" s="43" t="s">
        <v>5</v>
      </c>
      <c r="B50" s="74">
        <v>2011</v>
      </c>
      <c r="C50" s="74">
        <v>2012</v>
      </c>
      <c r="D50" s="74">
        <v>2013</v>
      </c>
      <c r="E50" s="74">
        <v>2014</v>
      </c>
      <c r="F50" s="74">
        <v>2015</v>
      </c>
      <c r="G50" s="74">
        <v>2016</v>
      </c>
      <c r="H50" s="74">
        <v>2017</v>
      </c>
      <c r="I50" s="74">
        <v>2018</v>
      </c>
      <c r="J50" s="74">
        <v>2019</v>
      </c>
      <c r="K50" s="74">
        <v>2020</v>
      </c>
      <c r="L50" s="74">
        <v>2021</v>
      </c>
      <c r="M50" s="74">
        <v>2022</v>
      </c>
      <c r="N50" s="74">
        <v>2023</v>
      </c>
      <c r="O50" s="74">
        <v>2024</v>
      </c>
      <c r="Q50" s="91" t="s">
        <v>116</v>
      </c>
      <c r="R50" s="91" t="s">
        <v>117</v>
      </c>
      <c r="S50" s="91" t="s">
        <v>118</v>
      </c>
      <c r="T50" s="91" t="s">
        <v>119</v>
      </c>
      <c r="U50" s="91" t="s">
        <v>120</v>
      </c>
      <c r="V50" s="91" t="s">
        <v>121</v>
      </c>
      <c r="W50" s="91" t="s">
        <v>122</v>
      </c>
      <c r="X50" s="91" t="s">
        <v>123</v>
      </c>
      <c r="Y50" s="91" t="s">
        <v>124</v>
      </c>
      <c r="Z50" s="91" t="s">
        <v>125</v>
      </c>
      <c r="AA50" s="91" t="s">
        <v>126</v>
      </c>
      <c r="AB50" s="92" t="s">
        <v>127</v>
      </c>
      <c r="AC50" s="91" t="s">
        <v>128</v>
      </c>
      <c r="AD50" s="91" t="s">
        <v>129</v>
      </c>
      <c r="AE50" s="91" t="s">
        <v>130</v>
      </c>
      <c r="AF50" s="91" t="s">
        <v>131</v>
      </c>
      <c r="AG50" s="91" t="s">
        <v>132</v>
      </c>
      <c r="AH50" s="91" t="s">
        <v>133</v>
      </c>
      <c r="AI50" s="91" t="s">
        <v>134</v>
      </c>
      <c r="AJ50" s="91" t="s">
        <v>135</v>
      </c>
      <c r="AK50" s="91" t="s">
        <v>291</v>
      </c>
      <c r="AL50" s="91" t="s">
        <v>293</v>
      </c>
      <c r="AM50" s="91" t="s">
        <v>306</v>
      </c>
      <c r="AN50" s="91" t="s">
        <v>311</v>
      </c>
      <c r="AO50" s="91" t="str">
        <f>AO5</f>
        <v>1H 2023</v>
      </c>
      <c r="AP50" s="91" t="str">
        <f>AP5</f>
        <v>2H 2023</v>
      </c>
      <c r="AQ50" s="91" t="str">
        <f>AQ5</f>
        <v>1H 2024</v>
      </c>
      <c r="AR50" s="91" t="s">
        <v>429</v>
      </c>
      <c r="AS50" s="91" t="s">
        <v>482</v>
      </c>
    </row>
    <row r="51" spans="1:45" x14ac:dyDescent="0.2">
      <c r="A51" s="40" t="s">
        <v>147</v>
      </c>
      <c r="B51" s="78">
        <f>SUM(PL!Q51:R51)</f>
        <v>10853</v>
      </c>
      <c r="C51" s="78">
        <f>SUM(PL!S51:T51)</f>
        <v>9400</v>
      </c>
      <c r="D51" s="78">
        <f>SUM(PL!U51:V51)</f>
        <v>12368</v>
      </c>
      <c r="E51" s="78">
        <f>SUM(PL!W51:X51)</f>
        <v>15796</v>
      </c>
      <c r="F51" s="78">
        <f>SUM(PL!Y51:Z51)</f>
        <v>12999</v>
      </c>
      <c r="G51" s="78">
        <f>SUM(PL!AA51:AB51)</f>
        <v>12209</v>
      </c>
      <c r="H51" s="78">
        <f>SUM(PL!AC51:AD51)</f>
        <v>18001</v>
      </c>
      <c r="I51" s="78">
        <f>SUM(PL!AE51:AF51)</f>
        <v>17055</v>
      </c>
      <c r="J51" s="78">
        <f>SUM(PL!AG51:AH51)</f>
        <v>20057</v>
      </c>
      <c r="K51" s="78">
        <f>SUM(PL!AI51:AJ51)</f>
        <v>21915</v>
      </c>
      <c r="L51" s="78">
        <f>SUM(AK51:AL51)</f>
        <v>27782</v>
      </c>
      <c r="M51" s="78">
        <f>SUM(AM51:AN51)</f>
        <v>28203</v>
      </c>
      <c r="N51" s="78">
        <f>N17</f>
        <v>29971</v>
      </c>
      <c r="O51" s="78">
        <f>O17</f>
        <v>41378</v>
      </c>
      <c r="P51" s="40"/>
      <c r="Q51" s="78">
        <v>4659</v>
      </c>
      <c r="R51" s="78">
        <v>6194</v>
      </c>
      <c r="S51" s="78">
        <v>6194</v>
      </c>
      <c r="T51" s="78">
        <v>3206</v>
      </c>
      <c r="U51" s="78">
        <v>4360</v>
      </c>
      <c r="V51" s="78">
        <v>8008</v>
      </c>
      <c r="W51" s="78">
        <v>5040</v>
      </c>
      <c r="X51" s="78">
        <v>10756</v>
      </c>
      <c r="Y51" s="78">
        <v>5571</v>
      </c>
      <c r="Z51" s="78">
        <v>7428</v>
      </c>
      <c r="AA51" s="78">
        <v>6797</v>
      </c>
      <c r="AB51" s="86">
        <v>5412</v>
      </c>
      <c r="AC51" s="78">
        <v>3780</v>
      </c>
      <c r="AD51" s="78">
        <v>14221</v>
      </c>
      <c r="AE51" s="78">
        <v>12016</v>
      </c>
      <c r="AF51" s="78">
        <v>5039</v>
      </c>
      <c r="AG51" s="78">
        <v>7435</v>
      </c>
      <c r="AH51" s="78">
        <v>12622</v>
      </c>
      <c r="AI51" s="78">
        <v>4057</v>
      </c>
      <c r="AJ51" s="78">
        <v>17858</v>
      </c>
      <c r="AK51" s="78">
        <f>AK17</f>
        <v>13798</v>
      </c>
      <c r="AL51" s="78">
        <f>AL17</f>
        <v>13984</v>
      </c>
      <c r="AM51" s="78">
        <f>AM17</f>
        <v>9758</v>
      </c>
      <c r="AN51" s="78">
        <v>18445</v>
      </c>
      <c r="AO51" s="78">
        <f>AO17</f>
        <v>11246</v>
      </c>
      <c r="AP51" s="78">
        <f t="shared" ref="AP51:AP58" si="19">N51-AO51</f>
        <v>18725</v>
      </c>
      <c r="AQ51" s="78">
        <f>AQ17</f>
        <v>19568</v>
      </c>
      <c r="AR51" s="78">
        <f>O51-AQ51</f>
        <v>21810</v>
      </c>
      <c r="AS51" s="78">
        <f>20887</f>
        <v>20887</v>
      </c>
    </row>
    <row r="52" spans="1:45" x14ac:dyDescent="0.2">
      <c r="A52" s="6" t="s">
        <v>169</v>
      </c>
      <c r="B52" s="34">
        <f>SUM(PL!Q52:R52)</f>
        <v>-2328</v>
      </c>
      <c r="C52" s="34">
        <f>SUM(PL!S52:T52)</f>
        <v>-2324</v>
      </c>
      <c r="D52" s="34">
        <f>SUM(PL!U52:V52)</f>
        <v>-3157</v>
      </c>
      <c r="E52" s="34">
        <f>SUM(PL!W52:X52)</f>
        <v>-4178</v>
      </c>
      <c r="F52" s="34">
        <f>SUM(PL!Y52:Z52)</f>
        <v>-4348</v>
      </c>
      <c r="G52" s="34">
        <f>SUM(PL!AA52:AB52)</f>
        <v>-4454</v>
      </c>
      <c r="H52" s="34">
        <f>SUM(PL!AC52:AD52)</f>
        <v>-5052</v>
      </c>
      <c r="I52" s="34">
        <f>SUM(PL!AE52:AF52)</f>
        <v>-6922</v>
      </c>
      <c r="J52" s="34">
        <f>SUM(PL!AG52:AH52)</f>
        <v>-7280</v>
      </c>
      <c r="K52" s="34">
        <f>SUM(PL!AI52:AJ52)</f>
        <v>-5235</v>
      </c>
      <c r="L52" s="34">
        <f t="shared" ref="L52:L58" si="20">SUM(AK52:AL52)</f>
        <v>-5784</v>
      </c>
      <c r="M52" s="34">
        <f t="shared" ref="M52:M58" si="21">SUM(AM52:AN52)</f>
        <v>-7259</v>
      </c>
      <c r="N52" s="34">
        <f>N19</f>
        <v>-7475</v>
      </c>
      <c r="O52" s="34">
        <f>O19</f>
        <v>-8455</v>
      </c>
      <c r="Q52" s="34">
        <v>-1020</v>
      </c>
      <c r="R52" s="34">
        <v>-1308</v>
      </c>
      <c r="S52" s="34">
        <v>-1308</v>
      </c>
      <c r="T52" s="34">
        <v>-1016</v>
      </c>
      <c r="U52" s="34">
        <v>-1195</v>
      </c>
      <c r="V52" s="34">
        <v>-1962</v>
      </c>
      <c r="W52" s="34">
        <v>-1129</v>
      </c>
      <c r="X52" s="34">
        <v>-3049</v>
      </c>
      <c r="Y52" s="34">
        <v>-1387</v>
      </c>
      <c r="Z52" s="34">
        <v>-2961</v>
      </c>
      <c r="AA52" s="34">
        <v>-1770</v>
      </c>
      <c r="AB52" s="87">
        <v>-2684</v>
      </c>
      <c r="AC52" s="34">
        <v>-1957</v>
      </c>
      <c r="AD52" s="34">
        <v>-3095</v>
      </c>
      <c r="AE52" s="34">
        <v>-2221</v>
      </c>
      <c r="AF52" s="34">
        <v>-4701</v>
      </c>
      <c r="AG52" s="34">
        <v>-2327</v>
      </c>
      <c r="AH52" s="34">
        <v>-4953</v>
      </c>
      <c r="AI52" s="34">
        <v>-1958</v>
      </c>
      <c r="AJ52" s="34">
        <v>-3277</v>
      </c>
      <c r="AK52" s="34">
        <f t="shared" ref="AK52:AM53" si="22">AK19</f>
        <v>-2453</v>
      </c>
      <c r="AL52" s="34">
        <f t="shared" si="22"/>
        <v>-3331</v>
      </c>
      <c r="AM52" s="34">
        <f t="shared" si="22"/>
        <v>-2558</v>
      </c>
      <c r="AN52" s="34">
        <v>-4701</v>
      </c>
      <c r="AO52" s="34">
        <f>AO19</f>
        <v>-3243</v>
      </c>
      <c r="AP52" s="34">
        <f t="shared" si="19"/>
        <v>-4232</v>
      </c>
      <c r="AQ52" s="34">
        <f>AQ19</f>
        <v>-3702</v>
      </c>
      <c r="AR52" s="34">
        <f t="shared" ref="AR52:AR58" si="23">O52-AQ52</f>
        <v>-4753</v>
      </c>
      <c r="AS52" s="34">
        <f>-3498</f>
        <v>-3498</v>
      </c>
    </row>
    <row r="53" spans="1:45" x14ac:dyDescent="0.2">
      <c r="A53" s="6" t="s">
        <v>170</v>
      </c>
      <c r="B53" s="34">
        <f>SUM(PL!Q53:R53)</f>
        <v>-854</v>
      </c>
      <c r="C53" s="34">
        <f>SUM(PL!S53:T53)</f>
        <v>-958</v>
      </c>
      <c r="D53" s="34">
        <f>SUM(PL!U53:V53)</f>
        <v>-1023</v>
      </c>
      <c r="E53" s="34">
        <f>SUM(PL!W53:X53)</f>
        <v>-1474</v>
      </c>
      <c r="F53" s="34">
        <f>SUM(PL!Y53:Z53)</f>
        <v>-1411</v>
      </c>
      <c r="G53" s="34">
        <f>SUM(PL!AA53:AB53)</f>
        <v>-1984</v>
      </c>
      <c r="H53" s="34">
        <f>SUM(PL!AC53:AD53)</f>
        <v>-2930</v>
      </c>
      <c r="I53" s="34">
        <f>SUM(PL!AE53:AF53)</f>
        <v>-3318</v>
      </c>
      <c r="J53" s="34">
        <f>SUM(PL!AG53:AH53)</f>
        <v>-4822</v>
      </c>
      <c r="K53" s="34">
        <f>SUM(PL!AI53:AJ53)</f>
        <v>-4560</v>
      </c>
      <c r="L53" s="34">
        <f t="shared" si="20"/>
        <v>-4639</v>
      </c>
      <c r="M53" s="34">
        <f t="shared" si="21"/>
        <v>-5001</v>
      </c>
      <c r="N53" s="34">
        <f>N20</f>
        <v>-5158</v>
      </c>
      <c r="O53" s="34">
        <f>O20</f>
        <v>-6188</v>
      </c>
      <c r="Q53" s="34">
        <v>-336</v>
      </c>
      <c r="R53" s="34">
        <v>-518</v>
      </c>
      <c r="S53" s="34">
        <v>-518</v>
      </c>
      <c r="T53" s="34">
        <v>-440</v>
      </c>
      <c r="U53" s="34">
        <v>-389</v>
      </c>
      <c r="V53" s="34">
        <v>-634</v>
      </c>
      <c r="W53" s="34">
        <v>-569</v>
      </c>
      <c r="X53" s="34">
        <v>-905</v>
      </c>
      <c r="Y53" s="34">
        <v>-460</v>
      </c>
      <c r="Z53" s="34">
        <v>-951</v>
      </c>
      <c r="AA53" s="34">
        <v>-563</v>
      </c>
      <c r="AB53" s="87">
        <v>-1421</v>
      </c>
      <c r="AC53" s="34">
        <v>-577</v>
      </c>
      <c r="AD53" s="34">
        <v>-2353</v>
      </c>
      <c r="AE53" s="34">
        <v>-897</v>
      </c>
      <c r="AF53" s="34">
        <v>-2421</v>
      </c>
      <c r="AG53" s="34">
        <v>-792</v>
      </c>
      <c r="AH53" s="34">
        <v>-4030</v>
      </c>
      <c r="AI53" s="34">
        <v>-918</v>
      </c>
      <c r="AJ53" s="34">
        <v>-3642</v>
      </c>
      <c r="AK53" s="34">
        <f t="shared" si="22"/>
        <v>-1964</v>
      </c>
      <c r="AL53" s="34">
        <f t="shared" si="22"/>
        <v>-2675</v>
      </c>
      <c r="AM53" s="34">
        <f t="shared" si="22"/>
        <v>-1980</v>
      </c>
      <c r="AN53" s="34">
        <v>-3021</v>
      </c>
      <c r="AO53" s="34">
        <f>AO20</f>
        <v>-2364</v>
      </c>
      <c r="AP53" s="34">
        <f t="shared" si="19"/>
        <v>-2794</v>
      </c>
      <c r="AQ53" s="34">
        <f>AQ20</f>
        <v>-2965</v>
      </c>
      <c r="AR53" s="34">
        <f t="shared" si="23"/>
        <v>-3223</v>
      </c>
      <c r="AS53" s="34">
        <f>-3784</f>
        <v>-3784</v>
      </c>
    </row>
    <row r="54" spans="1:45" x14ac:dyDescent="0.2">
      <c r="A54" s="6" t="s">
        <v>171</v>
      </c>
      <c r="B54" s="34">
        <f>SUM(PL!Q54:R54)</f>
        <v>7671</v>
      </c>
      <c r="C54" s="34">
        <f>SUM(PL!S54:T54)</f>
        <v>6118</v>
      </c>
      <c r="D54" s="34">
        <f>SUM(PL!U54:V54)</f>
        <v>8188</v>
      </c>
      <c r="E54" s="34">
        <f>SUM(PL!W54:X54)</f>
        <v>10144</v>
      </c>
      <c r="F54" s="34">
        <f>SUM(PL!Y54:Z54)</f>
        <v>7240</v>
      </c>
      <c r="G54" s="34">
        <f>SUM(PL!AA54:AB54)</f>
        <v>5771</v>
      </c>
      <c r="H54" s="34">
        <f>SUM(PL!AC54:AD54)</f>
        <v>10019</v>
      </c>
      <c r="I54" s="34">
        <f>SUM(PL!AE54:AF54)</f>
        <v>6815</v>
      </c>
      <c r="J54" s="34">
        <f>SUM(PL!AG54:AH54)</f>
        <v>7955</v>
      </c>
      <c r="K54" s="34">
        <f>SUM(PL!AI54:AJ54)</f>
        <v>12120</v>
      </c>
      <c r="L54" s="34">
        <f t="shared" si="20"/>
        <v>17359</v>
      </c>
      <c r="M54" s="34">
        <f t="shared" si="21"/>
        <v>15943</v>
      </c>
      <c r="N54" s="34">
        <f>N51+N52+N53</f>
        <v>17338</v>
      </c>
      <c r="O54" s="34">
        <f>O51+O52+O53</f>
        <v>26735</v>
      </c>
      <c r="Q54" s="34">
        <v>3303</v>
      </c>
      <c r="R54" s="34">
        <v>4368</v>
      </c>
      <c r="S54" s="34">
        <v>4368</v>
      </c>
      <c r="T54" s="34">
        <v>1750</v>
      </c>
      <c r="U54" s="34">
        <v>2776</v>
      </c>
      <c r="V54" s="34">
        <v>5412</v>
      </c>
      <c r="W54" s="34">
        <v>3342</v>
      </c>
      <c r="X54" s="34">
        <v>6802</v>
      </c>
      <c r="Y54" s="34">
        <v>3724</v>
      </c>
      <c r="Z54" s="34">
        <v>3516</v>
      </c>
      <c r="AA54" s="34">
        <v>4464</v>
      </c>
      <c r="AB54" s="87">
        <v>1307</v>
      </c>
      <c r="AC54" s="34">
        <v>1246</v>
      </c>
      <c r="AD54" s="34">
        <v>8773</v>
      </c>
      <c r="AE54" s="34">
        <v>8898</v>
      </c>
      <c r="AF54" s="34">
        <v>-2083</v>
      </c>
      <c r="AG54" s="34">
        <v>4316</v>
      </c>
      <c r="AH54" s="34">
        <v>3639</v>
      </c>
      <c r="AI54" s="34">
        <v>1181</v>
      </c>
      <c r="AJ54" s="34">
        <v>10939</v>
      </c>
      <c r="AK54" s="34">
        <f>AK51+AK52+AK53</f>
        <v>9381</v>
      </c>
      <c r="AL54" s="34">
        <f>AL51+AL52+AL53</f>
        <v>7978</v>
      </c>
      <c r="AM54" s="34">
        <f>SUM(AM51:AM53)</f>
        <v>5220</v>
      </c>
      <c r="AN54" s="34">
        <v>10723</v>
      </c>
      <c r="AO54" s="34">
        <f>SUM(AO51:AO53)</f>
        <v>5639</v>
      </c>
      <c r="AP54" s="34">
        <f t="shared" si="19"/>
        <v>11699</v>
      </c>
      <c r="AQ54" s="34">
        <f>SUM(AQ51:AQ53)</f>
        <v>12901</v>
      </c>
      <c r="AR54" s="34">
        <f t="shared" si="23"/>
        <v>13834</v>
      </c>
      <c r="AS54" s="34">
        <f>SUM(AS51:AS53)</f>
        <v>13605</v>
      </c>
    </row>
    <row r="55" spans="1:45" x14ac:dyDescent="0.2">
      <c r="A55" s="6" t="s">
        <v>172</v>
      </c>
      <c r="B55" s="34">
        <f>SUM(PL!Q55:R55)</f>
        <v>265</v>
      </c>
      <c r="C55" s="34">
        <f>SUM(PL!S55:T55)</f>
        <v>417</v>
      </c>
      <c r="D55" s="34">
        <f>SUM(PL!U55:V55)</f>
        <v>343</v>
      </c>
      <c r="E55" s="34">
        <f>SUM(PL!W55:X55)</f>
        <v>417</v>
      </c>
      <c r="F55" s="34">
        <f>SUM(PL!Y55:Z55)</f>
        <v>406</v>
      </c>
      <c r="G55" s="34">
        <f>SUM(PL!AA55:AB55)</f>
        <v>434</v>
      </c>
      <c r="H55" s="34">
        <f>SUM(PL!AC55:AD55)</f>
        <v>340</v>
      </c>
      <c r="I55" s="34">
        <f>SUM(PL!AE55:AF55)</f>
        <v>365</v>
      </c>
      <c r="J55" s="34">
        <f>SUM(PL!AG55:AH55)</f>
        <v>542</v>
      </c>
      <c r="K55" s="34">
        <f>SUM(PL!AI55:AJ55)</f>
        <v>481</v>
      </c>
      <c r="L55" s="34">
        <f t="shared" si="20"/>
        <v>521</v>
      </c>
      <c r="M55" s="34">
        <f t="shared" si="21"/>
        <v>541</v>
      </c>
      <c r="N55" s="34">
        <v>797</v>
      </c>
      <c r="O55" s="34">
        <f>911</f>
        <v>911</v>
      </c>
      <c r="Q55" s="34">
        <v>128</v>
      </c>
      <c r="R55" s="34">
        <v>137</v>
      </c>
      <c r="S55" s="34">
        <v>209</v>
      </c>
      <c r="T55" s="34">
        <v>208</v>
      </c>
      <c r="U55" s="34">
        <v>168</v>
      </c>
      <c r="V55" s="34">
        <v>175</v>
      </c>
      <c r="W55" s="34">
        <v>204</v>
      </c>
      <c r="X55" s="34">
        <v>213</v>
      </c>
      <c r="Y55" s="34">
        <v>213</v>
      </c>
      <c r="Z55" s="34">
        <v>193</v>
      </c>
      <c r="AA55" s="34">
        <v>240</v>
      </c>
      <c r="AB55" s="87">
        <v>194</v>
      </c>
      <c r="AC55" s="34">
        <v>172</v>
      </c>
      <c r="AD55" s="34">
        <v>168</v>
      </c>
      <c r="AE55" s="34">
        <v>169</v>
      </c>
      <c r="AF55" s="34">
        <v>196</v>
      </c>
      <c r="AG55" s="34">
        <v>270</v>
      </c>
      <c r="AH55" s="34">
        <v>272</v>
      </c>
      <c r="AI55" s="34">
        <v>385</v>
      </c>
      <c r="AJ55" s="34">
        <v>96</v>
      </c>
      <c r="AK55" s="34">
        <f>CF!AK10</f>
        <v>233</v>
      </c>
      <c r="AL55" s="34">
        <v>288</v>
      </c>
      <c r="AM55" s="34">
        <v>273</v>
      </c>
      <c r="AN55" s="34">
        <v>268</v>
      </c>
      <c r="AO55" s="34">
        <f>403</f>
        <v>403</v>
      </c>
      <c r="AP55" s="34">
        <f t="shared" si="19"/>
        <v>394</v>
      </c>
      <c r="AQ55" s="34">
        <f>450</f>
        <v>450</v>
      </c>
      <c r="AR55" s="34">
        <f t="shared" si="23"/>
        <v>461</v>
      </c>
      <c r="AS55" s="34">
        <f>459</f>
        <v>459</v>
      </c>
    </row>
    <row r="56" spans="1:45" x14ac:dyDescent="0.2">
      <c r="A56" s="33" t="s">
        <v>9</v>
      </c>
      <c r="B56" s="62">
        <f>SUM(PL!Q56:R56)</f>
        <v>7936</v>
      </c>
      <c r="C56" s="62">
        <f>SUM(PL!S56:T56)</f>
        <v>6535</v>
      </c>
      <c r="D56" s="62">
        <f>SUM(PL!U56:V56)</f>
        <v>8531</v>
      </c>
      <c r="E56" s="62">
        <f>SUM(PL!W56:X56)</f>
        <v>10561</v>
      </c>
      <c r="F56" s="62">
        <f>SUM(PL!Y56:Z56)</f>
        <v>7646</v>
      </c>
      <c r="G56" s="62">
        <f>SUM(PL!AA56:AB56)</f>
        <v>6205</v>
      </c>
      <c r="H56" s="62">
        <f>SUM(PL!AC56:AD56)</f>
        <v>10359</v>
      </c>
      <c r="I56" s="62">
        <f>SUM(PL!AE56:AF56)</f>
        <v>7180</v>
      </c>
      <c r="J56" s="62">
        <f>SUM(PL!AG56:AH56)</f>
        <v>8497</v>
      </c>
      <c r="K56" s="62">
        <f>SUM(PL!AI56:AJ56)</f>
        <v>12601</v>
      </c>
      <c r="L56" s="62">
        <f t="shared" si="20"/>
        <v>17880</v>
      </c>
      <c r="M56" s="62">
        <f t="shared" si="21"/>
        <v>16484</v>
      </c>
      <c r="N56" s="62">
        <f>N54+N55</f>
        <v>18135</v>
      </c>
      <c r="O56" s="62">
        <f>O54+O55</f>
        <v>27646</v>
      </c>
      <c r="Q56" s="62">
        <v>3431</v>
      </c>
      <c r="R56" s="62">
        <v>4505</v>
      </c>
      <c r="S56" s="62">
        <v>4577</v>
      </c>
      <c r="T56" s="62">
        <v>1958</v>
      </c>
      <c r="U56" s="62">
        <v>2944</v>
      </c>
      <c r="V56" s="62">
        <v>5587</v>
      </c>
      <c r="W56" s="62">
        <v>3546</v>
      </c>
      <c r="X56" s="62">
        <v>7015</v>
      </c>
      <c r="Y56" s="62">
        <v>3937</v>
      </c>
      <c r="Z56" s="62">
        <v>3709</v>
      </c>
      <c r="AA56" s="62">
        <v>4704</v>
      </c>
      <c r="AB56" s="88">
        <v>1501</v>
      </c>
      <c r="AC56" s="62">
        <v>1418</v>
      </c>
      <c r="AD56" s="62">
        <v>8941</v>
      </c>
      <c r="AE56" s="62">
        <v>9067</v>
      </c>
      <c r="AF56" s="62">
        <v>-1887</v>
      </c>
      <c r="AG56" s="62">
        <v>4586</v>
      </c>
      <c r="AH56" s="62">
        <v>3911</v>
      </c>
      <c r="AI56" s="62">
        <v>1566</v>
      </c>
      <c r="AJ56" s="62">
        <v>11035</v>
      </c>
      <c r="AK56" s="80">
        <f>AK54+AK55</f>
        <v>9614</v>
      </c>
      <c r="AL56" s="80">
        <f>AL54+AL55</f>
        <v>8266</v>
      </c>
      <c r="AM56" s="80">
        <f>SUM(AM54:AM55)</f>
        <v>5493</v>
      </c>
      <c r="AN56" s="80">
        <v>10991</v>
      </c>
      <c r="AO56" s="80">
        <f>SUM(AO54:AO55)</f>
        <v>6042</v>
      </c>
      <c r="AP56" s="80">
        <f t="shared" si="19"/>
        <v>12093</v>
      </c>
      <c r="AQ56" s="80">
        <f>SUM(AQ54:AQ55)</f>
        <v>13351</v>
      </c>
      <c r="AR56" s="80">
        <f t="shared" si="23"/>
        <v>14295</v>
      </c>
      <c r="AS56" s="80">
        <f>SUM(AS54:AS55)</f>
        <v>14064</v>
      </c>
    </row>
    <row r="57" spans="1:45" x14ac:dyDescent="0.2">
      <c r="A57" s="6" t="s">
        <v>173</v>
      </c>
      <c r="B57" s="34">
        <f>SUM(PL!Q57:R57)</f>
        <v>0</v>
      </c>
      <c r="C57" s="34">
        <f>SUM(PL!S57:T57)</f>
        <v>0</v>
      </c>
      <c r="D57" s="34">
        <f>SUM(PL!U57:V57)</f>
        <v>0</v>
      </c>
      <c r="E57" s="34">
        <f>SUM(PL!W57:X57)</f>
        <v>0</v>
      </c>
      <c r="F57" s="34">
        <f>SUM(PL!Y57:Z57)</f>
        <v>0</v>
      </c>
      <c r="G57" s="34">
        <f>SUM(PL!AA57:AB57)</f>
        <v>0</v>
      </c>
      <c r="H57" s="34">
        <f>SUM(PL!AC57:AD57)</f>
        <v>0</v>
      </c>
      <c r="I57" s="34">
        <f>SUM(PL!AE57:AF57)</f>
        <v>0</v>
      </c>
      <c r="J57" s="34">
        <f>SUM(PL!AG57:AH57)</f>
        <v>2678</v>
      </c>
      <c r="K57" s="34">
        <f>SUM(PL!AI57:AJ57)</f>
        <v>3881</v>
      </c>
      <c r="L57" s="34">
        <f t="shared" si="20"/>
        <v>3259</v>
      </c>
      <c r="M57" s="34">
        <f t="shared" si="21"/>
        <v>2311</v>
      </c>
      <c r="N57" s="34">
        <v>1290</v>
      </c>
      <c r="O57" s="34">
        <f>1047</f>
        <v>1047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1014</v>
      </c>
      <c r="AH57" s="34">
        <v>1664</v>
      </c>
      <c r="AI57" s="34">
        <v>1412</v>
      </c>
      <c r="AJ57" s="34">
        <v>2469</v>
      </c>
      <c r="AK57" s="89">
        <v>1522</v>
      </c>
      <c r="AL57" s="89">
        <v>1737</v>
      </c>
      <c r="AM57" s="89">
        <v>751</v>
      </c>
      <c r="AN57" s="89">
        <v>1560</v>
      </c>
      <c r="AO57" s="89">
        <v>646</v>
      </c>
      <c r="AP57" s="89">
        <f t="shared" si="19"/>
        <v>644</v>
      </c>
      <c r="AQ57" s="89">
        <f>631</f>
        <v>631</v>
      </c>
      <c r="AR57" s="89">
        <f t="shared" si="23"/>
        <v>416</v>
      </c>
      <c r="AS57" s="89">
        <f>316</f>
        <v>316</v>
      </c>
    </row>
    <row r="58" spans="1:45" x14ac:dyDescent="0.2">
      <c r="A58" s="33" t="s">
        <v>168</v>
      </c>
      <c r="B58" s="62">
        <f>SUM(PL!Q58:R58)</f>
        <v>7936</v>
      </c>
      <c r="C58" s="62">
        <f>SUM(PL!S58:T58)</f>
        <v>6535</v>
      </c>
      <c r="D58" s="62">
        <f>SUM(PL!U58:V58)</f>
        <v>8531</v>
      </c>
      <c r="E58" s="62">
        <f>SUM(PL!W58:X58)</f>
        <v>10561</v>
      </c>
      <c r="F58" s="62">
        <f>SUM(PL!Y58:Z58)</f>
        <v>7646</v>
      </c>
      <c r="G58" s="62">
        <f>SUM(PL!AA58:AB58)</f>
        <v>6205</v>
      </c>
      <c r="H58" s="62">
        <f>SUM(PL!AC58:AD58)</f>
        <v>10359</v>
      </c>
      <c r="I58" s="62">
        <f>SUM(PL!AE58:AF58)</f>
        <v>7180</v>
      </c>
      <c r="J58" s="62">
        <f>SUM(PL!AG58:AH58)</f>
        <v>11175</v>
      </c>
      <c r="K58" s="62">
        <f>SUM(PL!AI58:AJ58)</f>
        <v>16482</v>
      </c>
      <c r="L58" s="62">
        <f t="shared" si="20"/>
        <v>21139</v>
      </c>
      <c r="M58" s="62">
        <f t="shared" si="21"/>
        <v>18795</v>
      </c>
      <c r="N58" s="62">
        <f>N56+N57</f>
        <v>19425</v>
      </c>
      <c r="O58" s="62">
        <f>O56+O57</f>
        <v>28693</v>
      </c>
      <c r="Q58" s="62">
        <v>3431</v>
      </c>
      <c r="R58" s="62">
        <v>4505</v>
      </c>
      <c r="S58" s="62">
        <v>4577</v>
      </c>
      <c r="T58" s="62">
        <v>1958</v>
      </c>
      <c r="U58" s="62">
        <v>2944</v>
      </c>
      <c r="V58" s="62">
        <v>5587</v>
      </c>
      <c r="W58" s="62">
        <v>3546</v>
      </c>
      <c r="X58" s="62">
        <v>7015</v>
      </c>
      <c r="Y58" s="62">
        <v>3937</v>
      </c>
      <c r="Z58" s="62">
        <v>3709</v>
      </c>
      <c r="AA58" s="62">
        <v>4704</v>
      </c>
      <c r="AB58" s="88">
        <v>1501</v>
      </c>
      <c r="AC58" s="62">
        <v>1418</v>
      </c>
      <c r="AD58" s="62">
        <v>8941</v>
      </c>
      <c r="AE58" s="62">
        <v>9067</v>
      </c>
      <c r="AF58" s="62">
        <v>-1887</v>
      </c>
      <c r="AG58" s="62">
        <v>5600</v>
      </c>
      <c r="AH58" s="62">
        <v>5575</v>
      </c>
      <c r="AI58" s="62">
        <v>2978</v>
      </c>
      <c r="AJ58" s="62">
        <v>13504</v>
      </c>
      <c r="AK58" s="80">
        <v>11136</v>
      </c>
      <c r="AL58" s="80">
        <v>10003</v>
      </c>
      <c r="AM58" s="80">
        <f>SUM(AM56:AM57)</f>
        <v>6244</v>
      </c>
      <c r="AN58" s="80">
        <v>12551</v>
      </c>
      <c r="AO58" s="80">
        <f>SUM(AO56:AO57)</f>
        <v>6688</v>
      </c>
      <c r="AP58" s="80">
        <f t="shared" si="19"/>
        <v>12737</v>
      </c>
      <c r="AQ58" s="80">
        <f>SUM(AQ56:AQ57)</f>
        <v>13982</v>
      </c>
      <c r="AR58" s="80">
        <f t="shared" si="23"/>
        <v>14711</v>
      </c>
      <c r="AS58" s="80">
        <f>SUM(AS56:AS57)</f>
        <v>14380</v>
      </c>
    </row>
    <row r="59" spans="1:45" x14ac:dyDescent="0.2">
      <c r="F59" s="78"/>
      <c r="K59" s="78"/>
    </row>
    <row r="61" spans="1:45" x14ac:dyDescent="0.2">
      <c r="H61" s="34"/>
    </row>
  </sheetData>
  <phoneticPr fontId="33" type="noConversion"/>
  <hyperlinks>
    <hyperlink ref="A3" location="Contents!A1" display="Back to Contents" xr:uid="{7F1490DE-722E-459F-8596-3C70C88FDE29}"/>
    <hyperlink ref="A48" location="Contents!A1" display="Back to Contents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D73"/>
  <sheetViews>
    <sheetView showGridLines="0" zoomScaleNormal="100" workbookViewId="0">
      <pane xSplit="1" topLeftCell="R1" activePane="topRight" state="frozen"/>
      <selection pane="topRight" activeCell="AD64" sqref="AD64"/>
    </sheetView>
  </sheetViews>
  <sheetFormatPr defaultColWidth="9.140625" defaultRowHeight="14.25" x14ac:dyDescent="0.2"/>
  <cols>
    <col min="1" max="1" width="71.140625" style="41" bestFit="1" customWidth="1"/>
    <col min="2" max="23" width="10.140625" style="6" bestFit="1" customWidth="1"/>
    <col min="24" max="24" width="10.7109375" style="6" bestFit="1" customWidth="1"/>
    <col min="25" max="25" width="10.140625" style="6" bestFit="1" customWidth="1"/>
    <col min="26" max="27" width="10.7109375" style="6" bestFit="1" customWidth="1"/>
    <col min="28" max="28" width="10.7109375" style="41" bestFit="1" customWidth="1"/>
    <col min="29" max="30" width="10.7109375" style="6" bestFit="1" customWidth="1"/>
    <col min="31" max="16384" width="9.140625" style="41"/>
  </cols>
  <sheetData>
    <row r="2" spans="1:30" ht="18" x14ac:dyDescent="0.25">
      <c r="A2" s="54" t="s">
        <v>174</v>
      </c>
    </row>
    <row r="3" spans="1:30" x14ac:dyDescent="0.2">
      <c r="A3" s="35" t="s">
        <v>1</v>
      </c>
    </row>
    <row r="5" spans="1:30" x14ac:dyDescent="0.2">
      <c r="A5" s="36" t="s">
        <v>5</v>
      </c>
      <c r="B5" s="93">
        <v>40724</v>
      </c>
      <c r="C5" s="93">
        <v>40908</v>
      </c>
      <c r="D5" s="93">
        <v>41090</v>
      </c>
      <c r="E5" s="93">
        <v>41274</v>
      </c>
      <c r="F5" s="93">
        <v>41455</v>
      </c>
      <c r="G5" s="93">
        <v>41639</v>
      </c>
      <c r="H5" s="93">
        <v>41820</v>
      </c>
      <c r="I5" s="93">
        <v>42004</v>
      </c>
      <c r="J5" s="93">
        <v>42185</v>
      </c>
      <c r="K5" s="93">
        <v>42369</v>
      </c>
      <c r="L5" s="93">
        <v>42551</v>
      </c>
      <c r="M5" s="93">
        <v>42735</v>
      </c>
      <c r="N5" s="93">
        <v>42916</v>
      </c>
      <c r="O5" s="93">
        <v>43100</v>
      </c>
      <c r="P5" s="93">
        <v>43281</v>
      </c>
      <c r="Q5" s="93">
        <v>43465</v>
      </c>
      <c r="R5" s="93">
        <v>43646</v>
      </c>
      <c r="S5" s="93">
        <v>43830</v>
      </c>
      <c r="T5" s="93">
        <v>44012</v>
      </c>
      <c r="U5" s="93">
        <v>44196</v>
      </c>
      <c r="V5" s="94">
        <v>44377</v>
      </c>
      <c r="W5" s="93">
        <v>44561</v>
      </c>
      <c r="X5" s="93" t="s">
        <v>305</v>
      </c>
      <c r="Y5" s="93">
        <v>44926</v>
      </c>
      <c r="Z5" s="93" t="s">
        <v>396</v>
      </c>
      <c r="AA5" s="93" t="s">
        <v>404</v>
      </c>
      <c r="AB5" s="93" t="s">
        <v>426</v>
      </c>
      <c r="AC5" s="93">
        <v>45657</v>
      </c>
      <c r="AD5" s="93" t="s">
        <v>483</v>
      </c>
    </row>
    <row r="6" spans="1:30" x14ac:dyDescent="0.2">
      <c r="A6" s="32" t="s">
        <v>175</v>
      </c>
    </row>
    <row r="7" spans="1:30" x14ac:dyDescent="0.2">
      <c r="A7" s="44" t="s">
        <v>176</v>
      </c>
    </row>
    <row r="8" spans="1:30" x14ac:dyDescent="0.2">
      <c r="A8" s="6" t="s">
        <v>177</v>
      </c>
      <c r="B8" s="34">
        <v>1696</v>
      </c>
      <c r="C8" s="34">
        <v>2009</v>
      </c>
      <c r="D8" s="34">
        <v>2152</v>
      </c>
      <c r="E8" s="34">
        <v>2380</v>
      </c>
      <c r="F8" s="34">
        <v>1853</v>
      </c>
      <c r="G8" s="34">
        <v>1962</v>
      </c>
      <c r="H8" s="34">
        <v>2326</v>
      </c>
      <c r="I8" s="34">
        <v>2503</v>
      </c>
      <c r="J8" s="34">
        <v>2349</v>
      </c>
      <c r="K8" s="34">
        <v>2479</v>
      </c>
      <c r="L8" s="34">
        <v>2433</v>
      </c>
      <c r="M8" s="34">
        <v>2889</v>
      </c>
      <c r="N8" s="34">
        <v>2927</v>
      </c>
      <c r="O8" s="34">
        <v>3085</v>
      </c>
      <c r="P8" s="34">
        <v>3162</v>
      </c>
      <c r="Q8" s="34">
        <v>3195</v>
      </c>
      <c r="R8" s="34">
        <v>3637</v>
      </c>
      <c r="S8" s="34">
        <v>3561</v>
      </c>
      <c r="T8" s="34">
        <v>3431</v>
      </c>
      <c r="U8" s="34">
        <v>3508</v>
      </c>
      <c r="V8" s="34">
        <v>3334</v>
      </c>
      <c r="W8" s="6">
        <v>4050</v>
      </c>
      <c r="X8" s="34">
        <v>4494</v>
      </c>
      <c r="Y8" s="34">
        <v>4531</v>
      </c>
      <c r="Z8" s="34">
        <v>4983</v>
      </c>
      <c r="AA8" s="34">
        <v>6184</v>
      </c>
      <c r="AB8" s="34">
        <f>6743</f>
        <v>6743</v>
      </c>
      <c r="AC8" s="34">
        <f>7259</f>
        <v>7259</v>
      </c>
      <c r="AD8" s="34">
        <f>7448</f>
        <v>7448</v>
      </c>
    </row>
    <row r="9" spans="1:30" x14ac:dyDescent="0.2">
      <c r="A9" s="6" t="s">
        <v>307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X9" s="34">
        <v>194</v>
      </c>
      <c r="Y9" s="34">
        <v>2652</v>
      </c>
      <c r="Z9" s="34">
        <v>2645</v>
      </c>
      <c r="AA9" s="34">
        <v>2956</v>
      </c>
      <c r="AB9" s="34">
        <f>6599</f>
        <v>6599</v>
      </c>
      <c r="AC9" s="34">
        <f>6714</f>
        <v>6714</v>
      </c>
      <c r="AD9" s="34">
        <f>8589</f>
        <v>8589</v>
      </c>
    </row>
    <row r="10" spans="1:30" x14ac:dyDescent="0.2">
      <c r="A10" s="6" t="s">
        <v>178</v>
      </c>
      <c r="B10" s="34"/>
      <c r="C10" s="34">
        <v>0</v>
      </c>
      <c r="D10" s="34">
        <v>0</v>
      </c>
      <c r="E10" s="34">
        <v>0</v>
      </c>
      <c r="F10" s="34">
        <v>638</v>
      </c>
      <c r="G10" s="34">
        <v>1142</v>
      </c>
      <c r="H10" s="34">
        <v>1052</v>
      </c>
      <c r="I10" s="34">
        <v>808</v>
      </c>
      <c r="J10" s="34">
        <v>618</v>
      </c>
      <c r="K10" s="34">
        <v>538</v>
      </c>
      <c r="L10" s="34">
        <v>482</v>
      </c>
      <c r="M10" s="34">
        <v>561</v>
      </c>
      <c r="N10" s="34">
        <v>354</v>
      </c>
      <c r="O10" s="34">
        <v>333</v>
      </c>
      <c r="P10" s="34">
        <v>316</v>
      </c>
      <c r="Q10" s="34">
        <v>306</v>
      </c>
      <c r="R10" s="34">
        <v>1123</v>
      </c>
      <c r="S10" s="34">
        <v>1065</v>
      </c>
      <c r="T10" s="34">
        <v>853</v>
      </c>
      <c r="U10" s="34">
        <v>691</v>
      </c>
      <c r="V10" s="34">
        <v>568</v>
      </c>
      <c r="W10" s="6">
        <v>416</v>
      </c>
      <c r="X10" s="34">
        <v>405</v>
      </c>
      <c r="Y10" s="34">
        <v>396</v>
      </c>
      <c r="Z10" s="34">
        <v>347</v>
      </c>
      <c r="AA10" s="34">
        <v>344</v>
      </c>
      <c r="AB10" s="34">
        <f>311</f>
        <v>311</v>
      </c>
      <c r="AC10" s="34">
        <f>154</f>
        <v>154</v>
      </c>
      <c r="AD10" s="34">
        <f>160</f>
        <v>160</v>
      </c>
    </row>
    <row r="11" spans="1:30" x14ac:dyDescent="0.2">
      <c r="A11" s="6" t="s">
        <v>179</v>
      </c>
      <c r="B11" s="34">
        <v>102</v>
      </c>
      <c r="C11" s="34">
        <v>88</v>
      </c>
      <c r="D11" s="34">
        <v>48</v>
      </c>
      <c r="E11" s="34">
        <v>60</v>
      </c>
      <c r="F11" s="34">
        <v>241</v>
      </c>
      <c r="G11" s="34">
        <v>275</v>
      </c>
      <c r="H11" s="34">
        <v>684</v>
      </c>
      <c r="I11" s="34">
        <v>1036</v>
      </c>
      <c r="J11" s="34">
        <v>684</v>
      </c>
      <c r="K11" s="34">
        <v>578</v>
      </c>
      <c r="L11" s="34">
        <v>556</v>
      </c>
      <c r="M11" s="34">
        <v>545</v>
      </c>
      <c r="N11" s="34">
        <v>630</v>
      </c>
      <c r="O11" s="34">
        <v>739</v>
      </c>
      <c r="P11" s="34">
        <v>722</v>
      </c>
      <c r="Q11" s="34">
        <v>758</v>
      </c>
      <c r="R11" s="34">
        <v>762</v>
      </c>
      <c r="S11" s="34">
        <v>190</v>
      </c>
      <c r="T11" s="34">
        <v>71</v>
      </c>
      <c r="U11" s="34">
        <v>424</v>
      </c>
      <c r="V11" s="34">
        <v>378</v>
      </c>
      <c r="W11" s="6">
        <v>1489</v>
      </c>
      <c r="X11" s="34">
        <v>795</v>
      </c>
      <c r="Y11" s="34">
        <v>583</v>
      </c>
      <c r="Z11" s="34">
        <v>592</v>
      </c>
      <c r="AA11" s="34">
        <v>13427</v>
      </c>
      <c r="AB11" s="34">
        <f>12393</f>
        <v>12393</v>
      </c>
      <c r="AC11" s="34">
        <f>7069</f>
        <v>7069</v>
      </c>
      <c r="AD11" s="34">
        <f>5581</f>
        <v>5581</v>
      </c>
    </row>
    <row r="12" spans="1:30" x14ac:dyDescent="0.2">
      <c r="A12" s="6" t="s">
        <v>180</v>
      </c>
      <c r="B12" s="34">
        <v>815</v>
      </c>
      <c r="C12" s="34">
        <v>551</v>
      </c>
      <c r="D12" s="34">
        <v>472</v>
      </c>
      <c r="E12" s="34">
        <v>433</v>
      </c>
      <c r="F12" s="34">
        <v>390</v>
      </c>
      <c r="G12" s="34">
        <v>1332</v>
      </c>
      <c r="H12" s="34">
        <v>756</v>
      </c>
      <c r="I12" s="34">
        <v>2521</v>
      </c>
      <c r="J12" s="34">
        <v>2164</v>
      </c>
      <c r="K12" s="34">
        <v>3303</v>
      </c>
      <c r="L12" s="34">
        <v>3801</v>
      </c>
      <c r="M12" s="34">
        <v>5063</v>
      </c>
      <c r="N12" s="34">
        <v>5633</v>
      </c>
      <c r="O12" s="34">
        <v>5867</v>
      </c>
      <c r="P12" s="34">
        <v>6539</v>
      </c>
      <c r="Q12" s="34">
        <v>5777</v>
      </c>
      <c r="R12" s="34">
        <v>5586</v>
      </c>
      <c r="S12" s="34">
        <v>4692</v>
      </c>
      <c r="T12" s="34">
        <v>4442</v>
      </c>
      <c r="U12" s="34">
        <v>4253</v>
      </c>
      <c r="V12" s="34">
        <v>3554</v>
      </c>
      <c r="W12" s="6">
        <v>3345</v>
      </c>
      <c r="X12" s="34">
        <v>2847</v>
      </c>
      <c r="Y12" s="34">
        <v>1569</v>
      </c>
      <c r="Z12" s="34">
        <v>882</v>
      </c>
      <c r="AA12" s="34">
        <v>1446</v>
      </c>
      <c r="AB12" s="34">
        <f>1738</f>
        <v>1738</v>
      </c>
      <c r="AC12" s="34">
        <f>3090</f>
        <v>3090</v>
      </c>
      <c r="AD12" s="34">
        <f>4668</f>
        <v>4668</v>
      </c>
    </row>
    <row r="13" spans="1:30" x14ac:dyDescent="0.2">
      <c r="A13" s="6" t="s">
        <v>181</v>
      </c>
      <c r="B13" s="34">
        <v>440</v>
      </c>
      <c r="C13" s="34">
        <v>679</v>
      </c>
      <c r="D13" s="34">
        <v>536</v>
      </c>
      <c r="E13" s="34">
        <v>434</v>
      </c>
      <c r="F13" s="34">
        <v>433</v>
      </c>
      <c r="G13" s="34">
        <v>560</v>
      </c>
      <c r="H13" s="34">
        <v>710</v>
      </c>
      <c r="I13" s="34">
        <v>885</v>
      </c>
      <c r="J13" s="34">
        <v>1040</v>
      </c>
      <c r="K13" s="34">
        <v>1159</v>
      </c>
      <c r="L13" s="34">
        <v>1412</v>
      </c>
      <c r="M13" s="34">
        <v>1414</v>
      </c>
      <c r="N13" s="34">
        <v>1617</v>
      </c>
      <c r="O13" s="34">
        <v>2173</v>
      </c>
      <c r="P13" s="34">
        <v>2731</v>
      </c>
      <c r="Q13" s="34">
        <v>2806</v>
      </c>
      <c r="R13" s="34">
        <v>3297</v>
      </c>
      <c r="S13" s="34">
        <v>3921</v>
      </c>
      <c r="T13" s="34">
        <v>5221</v>
      </c>
      <c r="U13" s="34">
        <v>6692</v>
      </c>
      <c r="V13" s="34">
        <v>7705</v>
      </c>
      <c r="W13" s="6">
        <v>7347</v>
      </c>
      <c r="X13" s="34">
        <v>9548</v>
      </c>
      <c r="Y13" s="34">
        <v>11373</v>
      </c>
      <c r="Z13" s="34">
        <v>11751</v>
      </c>
      <c r="AA13" s="34">
        <v>11298</v>
      </c>
      <c r="AB13" s="34">
        <f>13138</f>
        <v>13138</v>
      </c>
      <c r="AC13" s="34">
        <f>17670</f>
        <v>17670</v>
      </c>
      <c r="AD13" s="34">
        <f>22737</f>
        <v>22737</v>
      </c>
    </row>
    <row r="14" spans="1:30" x14ac:dyDescent="0.2">
      <c r="A14" s="6" t="s">
        <v>182</v>
      </c>
      <c r="B14" s="34">
        <v>5</v>
      </c>
      <c r="C14" s="34">
        <v>92</v>
      </c>
      <c r="D14" s="34">
        <v>10</v>
      </c>
      <c r="E14" s="34">
        <v>11</v>
      </c>
      <c r="F14" s="34">
        <v>10</v>
      </c>
      <c r="G14" s="34">
        <v>10</v>
      </c>
      <c r="H14" s="34">
        <v>10</v>
      </c>
      <c r="I14" s="34">
        <v>10</v>
      </c>
      <c r="J14" s="34">
        <v>10</v>
      </c>
      <c r="K14" s="34">
        <v>5</v>
      </c>
      <c r="L14" s="34">
        <v>2</v>
      </c>
      <c r="M14" s="34">
        <v>0</v>
      </c>
      <c r="N14" s="34"/>
      <c r="O14" s="34">
        <v>0</v>
      </c>
      <c r="P14" s="34"/>
      <c r="Q14" s="34">
        <v>0</v>
      </c>
      <c r="R14" s="34"/>
      <c r="S14" s="34">
        <v>0</v>
      </c>
      <c r="T14" s="34"/>
      <c r="U14" s="34">
        <v>0</v>
      </c>
      <c r="W14" s="34">
        <v>0</v>
      </c>
      <c r="X14" s="34">
        <v>0</v>
      </c>
      <c r="Y14" s="34"/>
      <c r="Z14" s="34">
        <v>0</v>
      </c>
      <c r="AA14" s="34">
        <v>0</v>
      </c>
      <c r="AB14" s="34">
        <f>0</f>
        <v>0</v>
      </c>
      <c r="AC14" s="34">
        <f>0</f>
        <v>0</v>
      </c>
      <c r="AD14" s="34">
        <f>0</f>
        <v>0</v>
      </c>
    </row>
    <row r="15" spans="1:30" x14ac:dyDescent="0.2">
      <c r="A15" s="37" t="s">
        <v>183</v>
      </c>
      <c r="B15" s="78">
        <v>3058</v>
      </c>
      <c r="C15" s="78">
        <v>3419</v>
      </c>
      <c r="D15" s="78">
        <v>3218</v>
      </c>
      <c r="E15" s="78">
        <v>3318</v>
      </c>
      <c r="F15" s="78">
        <v>3565</v>
      </c>
      <c r="G15" s="78">
        <v>5281</v>
      </c>
      <c r="H15" s="78">
        <v>5538</v>
      </c>
      <c r="I15" s="78">
        <v>7763</v>
      </c>
      <c r="J15" s="78">
        <v>6865</v>
      </c>
      <c r="K15" s="78">
        <v>8062</v>
      </c>
      <c r="L15" s="78">
        <v>8686</v>
      </c>
      <c r="M15" s="78">
        <v>10472</v>
      </c>
      <c r="N15" s="78">
        <v>11161</v>
      </c>
      <c r="O15" s="78">
        <v>12197</v>
      </c>
      <c r="P15" s="78">
        <v>13470</v>
      </c>
      <c r="Q15" s="78">
        <v>12842</v>
      </c>
      <c r="R15" s="78">
        <v>14405</v>
      </c>
      <c r="S15" s="78">
        <v>13429</v>
      </c>
      <c r="T15" s="78">
        <v>14018</v>
      </c>
      <c r="U15" s="78">
        <v>15568</v>
      </c>
      <c r="V15" s="78">
        <v>15539</v>
      </c>
      <c r="W15" s="40">
        <v>16647</v>
      </c>
      <c r="X15" s="78">
        <f>SUM(X8:X14)</f>
        <v>18283</v>
      </c>
      <c r="Y15" s="78">
        <v>21104</v>
      </c>
      <c r="Z15" s="78">
        <f>SUM(Z8:Z14)</f>
        <v>21200</v>
      </c>
      <c r="AA15" s="78">
        <f>SUM(AA8:AA14)</f>
        <v>35655</v>
      </c>
      <c r="AB15" s="78">
        <f>SUM(AB8:AB14)</f>
        <v>40922</v>
      </c>
      <c r="AC15" s="78">
        <f>SUM(AC8:AC14)</f>
        <v>41956</v>
      </c>
      <c r="AD15" s="78">
        <f>SUM(AD8:AD14)</f>
        <v>49183</v>
      </c>
    </row>
    <row r="16" spans="1:30" x14ac:dyDescent="0.2">
      <c r="A16" s="3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AB16" s="6"/>
    </row>
    <row r="17" spans="1:30" x14ac:dyDescent="0.2">
      <c r="A17" s="44" t="s">
        <v>184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AB17" s="6"/>
    </row>
    <row r="18" spans="1:30" x14ac:dyDescent="0.2">
      <c r="A18" s="40" t="s">
        <v>185</v>
      </c>
      <c r="B18" s="78">
        <v>27867</v>
      </c>
      <c r="C18" s="78">
        <v>32047</v>
      </c>
      <c r="D18" s="78">
        <v>34613</v>
      </c>
      <c r="E18" s="78">
        <v>41522</v>
      </c>
      <c r="F18" s="78">
        <v>44056</v>
      </c>
      <c r="G18" s="78">
        <v>50057</v>
      </c>
      <c r="H18" s="78">
        <v>57132</v>
      </c>
      <c r="I18" s="78">
        <v>57525</v>
      </c>
      <c r="J18" s="78">
        <v>61131</v>
      </c>
      <c r="K18" s="78">
        <v>67722</v>
      </c>
      <c r="L18" s="78">
        <v>69237</v>
      </c>
      <c r="M18" s="78">
        <v>71261</v>
      </c>
      <c r="N18" s="78">
        <v>77924</v>
      </c>
      <c r="O18" s="78">
        <v>78122</v>
      </c>
      <c r="P18" s="78">
        <v>81863</v>
      </c>
      <c r="Q18" s="78">
        <v>67694</v>
      </c>
      <c r="R18" s="78">
        <v>106579</v>
      </c>
      <c r="S18" s="78">
        <v>100689</v>
      </c>
      <c r="T18" s="78">
        <v>97357</v>
      </c>
      <c r="U18" s="78">
        <v>115445</v>
      </c>
      <c r="V18" s="78">
        <f>SUM(V19:V22)</f>
        <v>110489</v>
      </c>
      <c r="W18" s="78">
        <v>110153</v>
      </c>
      <c r="X18" s="78">
        <f>SUM(X19:X21)</f>
        <v>139852</v>
      </c>
      <c r="Y18" s="78">
        <v>142519</v>
      </c>
      <c r="Z18" s="78">
        <f>SUM(Z19:Z21)</f>
        <v>153875</v>
      </c>
      <c r="AA18" s="78">
        <f>SUM(AA19:AA22)</f>
        <v>152035</v>
      </c>
      <c r="AB18" s="78">
        <f>SUM(AB19:AB22)</f>
        <v>142139</v>
      </c>
      <c r="AC18" s="78">
        <f>SUM(AC19:AC22)</f>
        <v>158365</v>
      </c>
      <c r="AD18" s="78">
        <f>SUM(AD19:AD22)</f>
        <v>152307</v>
      </c>
    </row>
    <row r="19" spans="1:30" x14ac:dyDescent="0.2">
      <c r="A19" s="63" t="s">
        <v>186</v>
      </c>
      <c r="B19" s="34">
        <v>18892</v>
      </c>
      <c r="C19" s="34">
        <v>14610</v>
      </c>
      <c r="D19" s="34">
        <v>24435</v>
      </c>
      <c r="E19" s="34">
        <v>26612</v>
      </c>
      <c r="F19" s="34">
        <v>34148</v>
      </c>
      <c r="G19" s="34">
        <v>31554</v>
      </c>
      <c r="H19" s="34">
        <v>39669</v>
      </c>
      <c r="I19" s="34">
        <v>35239</v>
      </c>
      <c r="J19" s="34">
        <v>41551</v>
      </c>
      <c r="K19" s="34">
        <v>41335</v>
      </c>
      <c r="L19" s="34">
        <v>43996</v>
      </c>
      <c r="M19" s="34">
        <v>48720</v>
      </c>
      <c r="N19" s="34">
        <v>56504</v>
      </c>
      <c r="O19" s="34">
        <v>57179</v>
      </c>
      <c r="P19" s="34">
        <v>67288</v>
      </c>
      <c r="Q19" s="34">
        <v>52105</v>
      </c>
      <c r="R19" s="34">
        <v>91670</v>
      </c>
      <c r="S19" s="34">
        <v>87631</v>
      </c>
      <c r="T19" s="34">
        <v>83782</v>
      </c>
      <c r="U19" s="34">
        <v>104877</v>
      </c>
      <c r="V19" s="34">
        <v>99402</v>
      </c>
      <c r="W19" s="34">
        <v>99266</v>
      </c>
      <c r="X19" s="34">
        <v>111582</v>
      </c>
      <c r="Y19" s="34">
        <v>123522</v>
      </c>
      <c r="Z19" s="34">
        <v>121722</v>
      </c>
      <c r="AA19" s="34">
        <v>119038</v>
      </c>
      <c r="AB19" s="34">
        <f>116646</f>
        <v>116646</v>
      </c>
      <c r="AC19" s="34">
        <f>135001</f>
        <v>135001</v>
      </c>
      <c r="AD19" s="34">
        <f>136010</f>
        <v>136010</v>
      </c>
    </row>
    <row r="20" spans="1:30" x14ac:dyDescent="0.2">
      <c r="A20" s="63" t="s">
        <v>187</v>
      </c>
      <c r="B20" s="34">
        <v>9069</v>
      </c>
      <c r="C20" s="34">
        <v>10328</v>
      </c>
      <c r="D20" s="34">
        <v>9758</v>
      </c>
      <c r="E20" s="34">
        <v>11605</v>
      </c>
      <c r="F20" s="34">
        <v>8992</v>
      </c>
      <c r="G20" s="34">
        <v>16086</v>
      </c>
      <c r="H20" s="34">
        <v>16664</v>
      </c>
      <c r="I20" s="34">
        <v>19797</v>
      </c>
      <c r="J20" s="34">
        <v>19269</v>
      </c>
      <c r="K20" s="34">
        <v>26701</v>
      </c>
      <c r="L20" s="34">
        <v>25712</v>
      </c>
      <c r="M20" s="34">
        <v>23006</v>
      </c>
      <c r="N20" s="34">
        <v>21984</v>
      </c>
      <c r="O20" s="34">
        <v>21873</v>
      </c>
      <c r="P20" s="34">
        <v>16254</v>
      </c>
      <c r="Q20" s="34">
        <v>16141</v>
      </c>
      <c r="R20" s="34">
        <v>16218</v>
      </c>
      <c r="S20" s="34">
        <v>15215</v>
      </c>
      <c r="T20" s="34">
        <v>16008</v>
      </c>
      <c r="U20" s="34">
        <v>13103</v>
      </c>
      <c r="V20" s="34">
        <v>14938</v>
      </c>
      <c r="W20" s="34">
        <v>16544</v>
      </c>
      <c r="X20" s="34">
        <v>22333</v>
      </c>
      <c r="Y20" s="34">
        <v>20526</v>
      </c>
      <c r="Z20" s="34">
        <v>25005</v>
      </c>
      <c r="AA20" s="34">
        <v>31718</v>
      </c>
      <c r="AB20" s="34">
        <f>24635</f>
        <v>24635</v>
      </c>
      <c r="AC20" s="34">
        <f>22169</f>
        <v>22169</v>
      </c>
      <c r="AD20" s="34">
        <f>12489</f>
        <v>12489</v>
      </c>
    </row>
    <row r="21" spans="1:30" x14ac:dyDescent="0.2">
      <c r="A21" s="63" t="s">
        <v>188</v>
      </c>
      <c r="B21" s="34">
        <v>565</v>
      </c>
      <c r="C21" s="34">
        <v>7252</v>
      </c>
      <c r="D21" s="34">
        <v>562</v>
      </c>
      <c r="E21" s="34">
        <v>3609</v>
      </c>
      <c r="F21" s="34">
        <v>922</v>
      </c>
      <c r="G21" s="34">
        <v>2423</v>
      </c>
      <c r="H21" s="34">
        <v>890</v>
      </c>
      <c r="I21" s="34">
        <v>2961</v>
      </c>
      <c r="J21" s="34">
        <v>813</v>
      </c>
      <c r="K21" s="34">
        <v>672</v>
      </c>
      <c r="L21" s="34">
        <v>805</v>
      </c>
      <c r="M21" s="34">
        <v>951</v>
      </c>
      <c r="N21" s="34">
        <v>1164</v>
      </c>
      <c r="O21" s="34">
        <v>1226</v>
      </c>
      <c r="P21" s="34">
        <v>2041</v>
      </c>
      <c r="Q21" s="34">
        <v>2017</v>
      </c>
      <c r="R21" s="34">
        <v>1739</v>
      </c>
      <c r="S21" s="34">
        <v>1699</v>
      </c>
      <c r="T21" s="34">
        <v>1742</v>
      </c>
      <c r="U21" s="34">
        <v>1997</v>
      </c>
      <c r="V21" s="34">
        <v>2484</v>
      </c>
      <c r="W21" s="34">
        <v>1701</v>
      </c>
      <c r="X21" s="34">
        <v>5937</v>
      </c>
      <c r="Y21" s="34">
        <v>6050</v>
      </c>
      <c r="Z21" s="34">
        <v>7148</v>
      </c>
      <c r="AA21" s="34">
        <v>8402</v>
      </c>
      <c r="AB21" s="34">
        <f>9355</f>
        <v>9355</v>
      </c>
      <c r="AC21" s="34">
        <f>9181</f>
        <v>9181</v>
      </c>
      <c r="AD21" s="34">
        <f>9385</f>
        <v>9385</v>
      </c>
    </row>
    <row r="22" spans="1:30" x14ac:dyDescent="0.2">
      <c r="A22" s="63" t="s">
        <v>189</v>
      </c>
      <c r="B22" s="34">
        <v>-659</v>
      </c>
      <c r="C22" s="34">
        <v>-143</v>
      </c>
      <c r="D22" s="34">
        <v>-142</v>
      </c>
      <c r="E22" s="34">
        <v>-304</v>
      </c>
      <c r="F22" s="34">
        <v>-6</v>
      </c>
      <c r="G22" s="34">
        <v>-6</v>
      </c>
      <c r="H22" s="34">
        <v>-91</v>
      </c>
      <c r="I22" s="34">
        <v>-472</v>
      </c>
      <c r="J22" s="34">
        <v>-502</v>
      </c>
      <c r="K22" s="34">
        <v>-986</v>
      </c>
      <c r="L22" s="34">
        <v>-1276</v>
      </c>
      <c r="M22" s="34">
        <v>-1416</v>
      </c>
      <c r="N22" s="34">
        <v>-1728</v>
      </c>
      <c r="O22" s="34">
        <v>-2156</v>
      </c>
      <c r="P22" s="34">
        <v>-3720</v>
      </c>
      <c r="Q22" s="34">
        <v>-2569</v>
      </c>
      <c r="R22" s="34">
        <v>-3048</v>
      </c>
      <c r="S22" s="34">
        <v>-3856</v>
      </c>
      <c r="T22" s="34">
        <v>-4175</v>
      </c>
      <c r="U22" s="34">
        <v>-4532</v>
      </c>
      <c r="V22" s="34">
        <f>-(4412+1902+21)</f>
        <v>-6335</v>
      </c>
      <c r="W22" s="34">
        <v>-7358</v>
      </c>
      <c r="X22" s="34">
        <v>-5745</v>
      </c>
      <c r="Y22" s="34">
        <f>-3922-3654-3</f>
        <v>-7579</v>
      </c>
      <c r="Z22" s="34">
        <f>-3721-3980</f>
        <v>-7701</v>
      </c>
      <c r="AA22" s="34">
        <f>-1928-5193-2</f>
        <v>-7123</v>
      </c>
      <c r="AB22" s="34">
        <f>-2717-5778-2</f>
        <v>-8497</v>
      </c>
      <c r="AC22" s="34">
        <f>-7986</f>
        <v>-7986</v>
      </c>
      <c r="AD22" s="34">
        <f>-5577</f>
        <v>-5577</v>
      </c>
    </row>
    <row r="23" spans="1:30" x14ac:dyDescent="0.2">
      <c r="A23" s="40" t="s">
        <v>190</v>
      </c>
      <c r="B23" s="78">
        <v>4971</v>
      </c>
      <c r="C23" s="78">
        <v>7473</v>
      </c>
      <c r="D23" s="78">
        <v>8200</v>
      </c>
      <c r="E23" s="78">
        <v>11058</v>
      </c>
      <c r="F23" s="78">
        <v>14387</v>
      </c>
      <c r="G23" s="78">
        <v>15078</v>
      </c>
      <c r="H23" s="78">
        <v>17746</v>
      </c>
      <c r="I23" s="78">
        <v>15074</v>
      </c>
      <c r="J23" s="78">
        <v>15926</v>
      </c>
      <c r="K23" s="78">
        <v>18234</v>
      </c>
      <c r="L23" s="78">
        <v>20340</v>
      </c>
      <c r="M23" s="78">
        <v>21409</v>
      </c>
      <c r="N23" s="78">
        <v>26468</v>
      </c>
      <c r="O23" s="78">
        <v>30184</v>
      </c>
      <c r="P23" s="78">
        <v>23728</v>
      </c>
      <c r="Q23" s="78">
        <v>20408</v>
      </c>
      <c r="R23" s="78">
        <v>25451</v>
      </c>
      <c r="S23" s="78">
        <v>25143</v>
      </c>
      <c r="T23" s="78">
        <v>24775</v>
      </c>
      <c r="U23" s="78">
        <v>28624</v>
      </c>
      <c r="V23" s="78">
        <f>SUM(V24:V28)</f>
        <v>36412</v>
      </c>
      <c r="W23" s="78">
        <v>49693</v>
      </c>
      <c r="X23" s="78">
        <f>SUM(X24:X28)</f>
        <v>61739</v>
      </c>
      <c r="Y23" s="78">
        <v>55561</v>
      </c>
      <c r="Z23" s="78">
        <f>SUM(Z24:Z28)</f>
        <v>44890</v>
      </c>
      <c r="AA23" s="78">
        <f>SUM(AA24:AA28)</f>
        <v>61278</v>
      </c>
      <c r="AB23" s="78">
        <f>SUM(AB24:AB28)</f>
        <v>81460</v>
      </c>
      <c r="AC23" s="78">
        <f>SUM(AC24:AC28)</f>
        <v>113156</v>
      </c>
      <c r="AD23" s="78">
        <f>SUM(AD24:AD28)</f>
        <v>135877</v>
      </c>
    </row>
    <row r="24" spans="1:30" x14ac:dyDescent="0.2">
      <c r="A24" s="63" t="s">
        <v>191</v>
      </c>
      <c r="B24" s="34">
        <v>2622</v>
      </c>
      <c r="C24" s="34">
        <v>3549</v>
      </c>
      <c r="D24" s="34">
        <v>3640</v>
      </c>
      <c r="E24" s="34">
        <v>5759</v>
      </c>
      <c r="F24" s="34">
        <v>7399</v>
      </c>
      <c r="G24" s="34">
        <v>5589</v>
      </c>
      <c r="H24" s="34">
        <v>6660</v>
      </c>
      <c r="I24" s="34">
        <v>6920</v>
      </c>
      <c r="J24" s="34">
        <v>7461</v>
      </c>
      <c r="K24" s="34">
        <v>8444</v>
      </c>
      <c r="L24" s="34">
        <v>9185</v>
      </c>
      <c r="M24" s="34">
        <v>10058</v>
      </c>
      <c r="N24" s="34">
        <v>12396</v>
      </c>
      <c r="O24" s="34">
        <v>10894</v>
      </c>
      <c r="P24" s="34">
        <v>9620</v>
      </c>
      <c r="Q24" s="34">
        <v>8075</v>
      </c>
      <c r="R24" s="34">
        <v>10384</v>
      </c>
      <c r="S24" s="34">
        <v>9988</v>
      </c>
      <c r="T24" s="34">
        <v>9489</v>
      </c>
      <c r="U24" s="34">
        <v>8384</v>
      </c>
      <c r="V24" s="34">
        <v>10779</v>
      </c>
      <c r="W24" s="34">
        <v>11015</v>
      </c>
      <c r="X24" s="34">
        <v>12928</v>
      </c>
      <c r="Y24" s="34">
        <v>12613</v>
      </c>
      <c r="Z24" s="34">
        <v>12850</v>
      </c>
      <c r="AA24" s="34">
        <v>11328</v>
      </c>
      <c r="AB24" s="34">
        <f>13358</f>
        <v>13358</v>
      </c>
      <c r="AC24" s="34">
        <f>16222</f>
        <v>16222</v>
      </c>
      <c r="AD24" s="34">
        <f>13302</f>
        <v>13302</v>
      </c>
    </row>
    <row r="25" spans="1:30" x14ac:dyDescent="0.2">
      <c r="A25" s="63" t="s">
        <v>192</v>
      </c>
      <c r="B25" s="34"/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J25" s="34"/>
      <c r="K25" s="34">
        <v>0</v>
      </c>
      <c r="L25" s="34"/>
      <c r="M25" s="34">
        <v>0</v>
      </c>
      <c r="N25" s="34"/>
      <c r="O25" s="34">
        <v>1187</v>
      </c>
      <c r="P25" s="34">
        <v>164</v>
      </c>
      <c r="Q25" s="34">
        <v>1244</v>
      </c>
      <c r="R25" s="34">
        <v>1577</v>
      </c>
      <c r="S25" s="34">
        <v>2463</v>
      </c>
      <c r="T25" s="34">
        <v>3976</v>
      </c>
      <c r="U25" s="34">
        <v>7138</v>
      </c>
      <c r="V25" s="34">
        <v>12375</v>
      </c>
      <c r="W25" s="34">
        <v>25332</v>
      </c>
      <c r="X25" s="34">
        <v>32772</v>
      </c>
      <c r="Y25" s="34">
        <v>28733</v>
      </c>
      <c r="Z25" s="34">
        <v>17822</v>
      </c>
      <c r="AA25" s="34">
        <v>31252</v>
      </c>
      <c r="AB25" s="34">
        <f>43023</f>
        <v>43023</v>
      </c>
      <c r="AC25" s="34">
        <f>72276</f>
        <v>72276</v>
      </c>
      <c r="AD25" s="34">
        <f>94317</f>
        <v>94317</v>
      </c>
    </row>
    <row r="26" spans="1:30" x14ac:dyDescent="0.2">
      <c r="A26" s="63" t="s">
        <v>193</v>
      </c>
      <c r="B26" s="34">
        <v>1302</v>
      </c>
      <c r="C26" s="34">
        <v>2777</v>
      </c>
      <c r="D26" s="34">
        <v>2548</v>
      </c>
      <c r="E26" s="34">
        <v>2954</v>
      </c>
      <c r="F26" s="34">
        <v>2689</v>
      </c>
      <c r="G26" s="34">
        <v>3103</v>
      </c>
      <c r="H26" s="34">
        <v>3055</v>
      </c>
      <c r="I26" s="34">
        <v>5721</v>
      </c>
      <c r="J26" s="34">
        <v>5489</v>
      </c>
      <c r="K26" s="34">
        <v>6832</v>
      </c>
      <c r="L26" s="34">
        <v>8463</v>
      </c>
      <c r="M26" s="34">
        <v>7733</v>
      </c>
      <c r="N26" s="34">
        <v>9424</v>
      </c>
      <c r="O26" s="34">
        <v>14016</v>
      </c>
      <c r="P26" s="34">
        <v>9841</v>
      </c>
      <c r="Q26" s="34">
        <v>8625</v>
      </c>
      <c r="R26" s="34">
        <v>9396</v>
      </c>
      <c r="S26" s="34">
        <v>8134</v>
      </c>
      <c r="T26" s="34">
        <v>6434</v>
      </c>
      <c r="U26" s="34">
        <v>6993</v>
      </c>
      <c r="V26" s="34">
        <v>7031</v>
      </c>
      <c r="W26" s="34">
        <v>6837</v>
      </c>
      <c r="X26" s="34">
        <v>7131</v>
      </c>
      <c r="Y26" s="34">
        <v>7447</v>
      </c>
      <c r="Z26" s="34">
        <v>7422</v>
      </c>
      <c r="AA26" s="34">
        <v>6831</v>
      </c>
      <c r="AB26" s="34">
        <f>9389</f>
        <v>9389</v>
      </c>
      <c r="AC26" s="34">
        <f>9031</f>
        <v>9031</v>
      </c>
      <c r="AD26" s="34">
        <f>10703</f>
        <v>10703</v>
      </c>
    </row>
    <row r="27" spans="1:30" x14ac:dyDescent="0.2">
      <c r="A27" s="63" t="s">
        <v>194</v>
      </c>
      <c r="B27" s="34">
        <v>1162</v>
      </c>
      <c r="C27" s="34">
        <v>1300</v>
      </c>
      <c r="D27" s="34">
        <v>2132</v>
      </c>
      <c r="E27" s="34">
        <v>2436</v>
      </c>
      <c r="F27" s="34">
        <v>4417</v>
      </c>
      <c r="G27" s="34">
        <v>6460</v>
      </c>
      <c r="H27" s="34">
        <v>8127</v>
      </c>
      <c r="I27" s="34">
        <v>2733</v>
      </c>
      <c r="J27" s="34">
        <v>3409</v>
      </c>
      <c r="K27" s="34">
        <v>3546</v>
      </c>
      <c r="L27" s="34">
        <v>3246</v>
      </c>
      <c r="M27" s="34">
        <v>4194</v>
      </c>
      <c r="N27" s="34">
        <v>5535</v>
      </c>
      <c r="O27" s="34">
        <v>4926</v>
      </c>
      <c r="P27" s="34">
        <v>4934</v>
      </c>
      <c r="Q27" s="34">
        <v>3980</v>
      </c>
      <c r="R27" s="34">
        <v>5785</v>
      </c>
      <c r="S27" s="34">
        <v>6238</v>
      </c>
      <c r="T27" s="34">
        <v>6621</v>
      </c>
      <c r="U27" s="34">
        <v>7921</v>
      </c>
      <c r="V27" s="34">
        <v>8149</v>
      </c>
      <c r="W27" s="34">
        <v>7999</v>
      </c>
      <c r="X27" s="34">
        <v>10813</v>
      </c>
      <c r="Y27" s="34">
        <f>11216+1607</f>
        <v>12823</v>
      </c>
      <c r="Z27" s="34">
        <v>9569</v>
      </c>
      <c r="AA27" s="34">
        <f>11674+2325</f>
        <v>13999</v>
      </c>
      <c r="AB27" s="34">
        <f>16143+1777</f>
        <v>17920</v>
      </c>
      <c r="AC27" s="34">
        <f>16350+1422</f>
        <v>17772</v>
      </c>
      <c r="AD27" s="34">
        <f>18694+873</f>
        <v>19567</v>
      </c>
    </row>
    <row r="28" spans="1:30" x14ac:dyDescent="0.2">
      <c r="A28" s="63" t="s">
        <v>405</v>
      </c>
      <c r="B28" s="34">
        <v>-115</v>
      </c>
      <c r="C28" s="34">
        <v>-153</v>
      </c>
      <c r="D28" s="34">
        <v>-120</v>
      </c>
      <c r="E28" s="34">
        <v>-91</v>
      </c>
      <c r="F28" s="34">
        <v>-118</v>
      </c>
      <c r="G28" s="34">
        <v>-74</v>
      </c>
      <c r="H28" s="34">
        <v>-96</v>
      </c>
      <c r="I28" s="34">
        <v>-300</v>
      </c>
      <c r="J28" s="34">
        <v>-433</v>
      </c>
      <c r="K28" s="34">
        <v>-588</v>
      </c>
      <c r="L28" s="34">
        <v>-554</v>
      </c>
      <c r="M28" s="34">
        <v>-576</v>
      </c>
      <c r="N28" s="34">
        <v>-887</v>
      </c>
      <c r="O28" s="34">
        <v>-839</v>
      </c>
      <c r="P28" s="34">
        <v>-831</v>
      </c>
      <c r="Q28" s="34">
        <v>-1516</v>
      </c>
      <c r="R28" s="34">
        <v>-1691</v>
      </c>
      <c r="S28" s="34">
        <v>-1680</v>
      </c>
      <c r="T28" s="34">
        <v>-1745</v>
      </c>
      <c r="U28" s="34">
        <v>-1812</v>
      </c>
      <c r="V28" s="34">
        <v>-1922</v>
      </c>
      <c r="W28" s="34">
        <v>-1490</v>
      </c>
      <c r="X28" s="34">
        <v>-1905</v>
      </c>
      <c r="Y28" s="34">
        <f>-1271-144-809</f>
        <v>-2224</v>
      </c>
      <c r="Z28" s="34">
        <v>-2773</v>
      </c>
      <c r="AA28" s="95">
        <f>-909-153-1070</f>
        <v>-2132</v>
      </c>
      <c r="AB28" s="95">
        <f>-1038-145-1047</f>
        <v>-2230</v>
      </c>
      <c r="AC28" s="95">
        <f>-808-265-1072</f>
        <v>-2145</v>
      </c>
      <c r="AD28" s="95">
        <f>-880-241-891</f>
        <v>-2012</v>
      </c>
    </row>
    <row r="29" spans="1:30" x14ac:dyDescent="0.2">
      <c r="A29" s="63" t="s">
        <v>430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95">
        <f>1347</f>
        <v>1347</v>
      </c>
      <c r="AB29" s="95"/>
      <c r="AC29" s="95">
        <f>2484</f>
        <v>2484</v>
      </c>
      <c r="AD29" s="95">
        <f>2077</f>
        <v>2077</v>
      </c>
    </row>
    <row r="30" spans="1:30" x14ac:dyDescent="0.2">
      <c r="A30" s="6" t="s">
        <v>195</v>
      </c>
      <c r="B30" s="34"/>
      <c r="C30" s="34">
        <v>0</v>
      </c>
      <c r="D30" s="34"/>
      <c r="E30" s="34">
        <v>0</v>
      </c>
      <c r="F30" s="34"/>
      <c r="G30" s="34">
        <v>0</v>
      </c>
      <c r="H30" s="34"/>
      <c r="I30" s="34">
        <v>0</v>
      </c>
      <c r="J30" s="34"/>
      <c r="K30" s="34">
        <v>0</v>
      </c>
      <c r="L30" s="34"/>
      <c r="M30" s="34">
        <v>0</v>
      </c>
      <c r="N30" s="34"/>
      <c r="O30" s="34">
        <v>0</v>
      </c>
      <c r="P30" s="34"/>
      <c r="Q30" s="34">
        <v>324</v>
      </c>
      <c r="R30" s="34">
        <v>706</v>
      </c>
      <c r="S30" s="34">
        <v>752</v>
      </c>
      <c r="T30" s="34">
        <v>755</v>
      </c>
      <c r="U30" s="34">
        <v>840</v>
      </c>
      <c r="V30" s="34">
        <v>897</v>
      </c>
      <c r="W30" s="34">
        <v>892</v>
      </c>
      <c r="X30" s="34">
        <v>1176</v>
      </c>
      <c r="Y30" s="34">
        <v>1197</v>
      </c>
      <c r="Z30" s="34">
        <v>1184</v>
      </c>
      <c r="AA30" s="34">
        <v>1662</v>
      </c>
      <c r="AB30" s="34">
        <f>2845</f>
        <v>2845</v>
      </c>
      <c r="AC30" s="34">
        <f>3022</f>
        <v>3022</v>
      </c>
      <c r="AD30" s="34">
        <f>2908</f>
        <v>2908</v>
      </c>
    </row>
    <row r="31" spans="1:30" x14ac:dyDescent="0.2">
      <c r="A31" s="6" t="s">
        <v>196</v>
      </c>
      <c r="B31" s="34">
        <v>779</v>
      </c>
      <c r="C31" s="34">
        <v>1327</v>
      </c>
      <c r="D31" s="34">
        <v>3032</v>
      </c>
      <c r="E31" s="34">
        <v>6870</v>
      </c>
      <c r="F31" s="34">
        <v>3824</v>
      </c>
      <c r="G31" s="34">
        <v>5008</v>
      </c>
      <c r="H31" s="34">
        <v>5493</v>
      </c>
      <c r="I31" s="34">
        <v>1221</v>
      </c>
      <c r="J31" s="34">
        <v>2122</v>
      </c>
      <c r="K31" s="34">
        <v>733</v>
      </c>
      <c r="L31" s="34">
        <v>830</v>
      </c>
      <c r="M31" s="34">
        <v>793</v>
      </c>
      <c r="N31" s="34">
        <v>754</v>
      </c>
      <c r="O31" s="34">
        <v>185</v>
      </c>
      <c r="P31" s="34">
        <v>201</v>
      </c>
      <c r="Q31" s="34">
        <v>203</v>
      </c>
      <c r="R31" s="34">
        <v>879</v>
      </c>
      <c r="S31" s="34">
        <v>203</v>
      </c>
      <c r="T31" s="34">
        <v>304</v>
      </c>
      <c r="U31" s="34">
        <v>212</v>
      </c>
      <c r="V31" s="34">
        <v>92</v>
      </c>
      <c r="W31" s="34">
        <v>126</v>
      </c>
      <c r="X31" s="34">
        <v>53</v>
      </c>
      <c r="Y31" s="34">
        <v>22</v>
      </c>
      <c r="Z31" s="34">
        <v>20</v>
      </c>
      <c r="AA31" s="34">
        <v>37</v>
      </c>
      <c r="AB31" s="34">
        <f>28</f>
        <v>28</v>
      </c>
      <c r="AC31" s="34">
        <f>27</f>
        <v>27</v>
      </c>
      <c r="AD31" s="34">
        <f>173</f>
        <v>173</v>
      </c>
    </row>
    <row r="32" spans="1:30" x14ac:dyDescent="0.2">
      <c r="A32" s="6" t="s">
        <v>197</v>
      </c>
      <c r="B32" s="34">
        <v>16146</v>
      </c>
      <c r="C32" s="34">
        <v>14484</v>
      </c>
      <c r="D32" s="34">
        <v>13276</v>
      </c>
      <c r="E32" s="34">
        <v>10716</v>
      </c>
      <c r="F32" s="34">
        <v>8559</v>
      </c>
      <c r="G32" s="34">
        <v>8139</v>
      </c>
      <c r="H32" s="34">
        <v>9635</v>
      </c>
      <c r="I32" s="34">
        <v>14631</v>
      </c>
      <c r="J32" s="34">
        <v>10042</v>
      </c>
      <c r="K32" s="34">
        <v>11532</v>
      </c>
      <c r="L32" s="34">
        <v>15770</v>
      </c>
      <c r="M32" s="34">
        <v>10206</v>
      </c>
      <c r="N32" s="34">
        <v>9392</v>
      </c>
      <c r="O32" s="34">
        <v>14125</v>
      </c>
      <c r="P32" s="34">
        <v>18865</v>
      </c>
      <c r="Q32" s="34">
        <v>23066</v>
      </c>
      <c r="R32" s="34">
        <v>35797</v>
      </c>
      <c r="S32" s="34">
        <v>31128</v>
      </c>
      <c r="T32" s="34">
        <v>24678</v>
      </c>
      <c r="U32" s="34">
        <v>25830</v>
      </c>
      <c r="V32" s="34">
        <v>39980</v>
      </c>
      <c r="W32" s="34">
        <v>44587</v>
      </c>
      <c r="X32" s="34">
        <v>39194</v>
      </c>
      <c r="Y32" s="34">
        <v>23811</v>
      </c>
      <c r="Z32" s="34">
        <v>25687</v>
      </c>
      <c r="AA32" s="34">
        <v>9724</v>
      </c>
      <c r="AB32" s="34">
        <f>6999</f>
        <v>6999</v>
      </c>
      <c r="AC32" s="34">
        <f>4320</f>
        <v>4320</v>
      </c>
      <c r="AD32" s="34">
        <f>5644</f>
        <v>5644</v>
      </c>
    </row>
    <row r="33" spans="1:30" x14ac:dyDescent="0.2">
      <c r="A33" s="6" t="s">
        <v>198</v>
      </c>
      <c r="B33" s="34">
        <v>30</v>
      </c>
      <c r="C33" s="34">
        <v>34</v>
      </c>
      <c r="D33" s="34">
        <v>13</v>
      </c>
      <c r="E33" s="34">
        <v>32</v>
      </c>
      <c r="F33" s="34">
        <v>20</v>
      </c>
      <c r="G33" s="34">
        <v>7</v>
      </c>
      <c r="H33" s="34">
        <v>18</v>
      </c>
      <c r="I33" s="34">
        <v>66</v>
      </c>
      <c r="J33" s="34">
        <v>66</v>
      </c>
      <c r="K33" s="34">
        <v>0</v>
      </c>
      <c r="L33" s="34">
        <v>7</v>
      </c>
      <c r="M33" s="34">
        <v>0</v>
      </c>
      <c r="N33" s="34"/>
      <c r="O33" s="34">
        <v>0</v>
      </c>
      <c r="P33" s="34"/>
      <c r="Q33" s="34">
        <v>0</v>
      </c>
      <c r="R33" s="34"/>
      <c r="S33" s="34">
        <v>0</v>
      </c>
      <c r="T33" s="34"/>
      <c r="U33" s="34">
        <v>0</v>
      </c>
      <c r="W33" s="34">
        <v>0</v>
      </c>
      <c r="X33" s="34">
        <v>0</v>
      </c>
      <c r="Y33" s="34"/>
      <c r="Z33" s="34"/>
      <c r="AA33" s="34"/>
      <c r="AB33" s="34"/>
      <c r="AC33" s="34"/>
      <c r="AD33" s="34"/>
    </row>
    <row r="34" spans="1:30" x14ac:dyDescent="0.2">
      <c r="A34" s="37" t="s">
        <v>199</v>
      </c>
      <c r="B34" s="78">
        <v>49793</v>
      </c>
      <c r="C34" s="78">
        <v>55365</v>
      </c>
      <c r="D34" s="78">
        <v>59134</v>
      </c>
      <c r="E34" s="78">
        <v>70198</v>
      </c>
      <c r="F34" s="78">
        <v>70846</v>
      </c>
      <c r="G34" s="78">
        <v>78289</v>
      </c>
      <c r="H34" s="78">
        <v>90024</v>
      </c>
      <c r="I34" s="78">
        <v>88517</v>
      </c>
      <c r="J34" s="78">
        <v>89287</v>
      </c>
      <c r="K34" s="78">
        <v>98221</v>
      </c>
      <c r="L34" s="78">
        <v>106184</v>
      </c>
      <c r="M34" s="78">
        <v>103669</v>
      </c>
      <c r="N34" s="78">
        <v>114538</v>
      </c>
      <c r="O34" s="78">
        <v>122616</v>
      </c>
      <c r="P34" s="78">
        <v>124657</v>
      </c>
      <c r="Q34" s="78">
        <v>111695</v>
      </c>
      <c r="R34" s="78">
        <v>169412</v>
      </c>
      <c r="S34" s="78">
        <v>157915</v>
      </c>
      <c r="T34" s="78">
        <v>147869</v>
      </c>
      <c r="U34" s="78">
        <v>170951</v>
      </c>
      <c r="V34" s="78">
        <v>188698</v>
      </c>
      <c r="W34" s="78">
        <v>205451</v>
      </c>
      <c r="X34" s="78">
        <v>236269</v>
      </c>
      <c r="Y34" s="78">
        <v>226941</v>
      </c>
      <c r="Z34" s="78">
        <v>230150</v>
      </c>
      <c r="AA34" s="78">
        <v>224736</v>
      </c>
      <c r="AB34" s="78">
        <f>233471</f>
        <v>233471</v>
      </c>
      <c r="AC34" s="78">
        <f>SUM(AC18,AC23,AC29:AC32)</f>
        <v>281374</v>
      </c>
      <c r="AD34" s="78">
        <f>SUM(AD18,AD23,AD29:AD32)</f>
        <v>298986</v>
      </c>
    </row>
    <row r="35" spans="1:30" x14ac:dyDescent="0.2">
      <c r="A35" s="6" t="s">
        <v>200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>
        <v>402</v>
      </c>
      <c r="U35" s="34"/>
      <c r="Y35" s="34"/>
      <c r="Z35" s="34"/>
      <c r="AA35" s="34"/>
      <c r="AB35" s="34"/>
      <c r="AC35" s="34"/>
      <c r="AD35" s="34"/>
    </row>
    <row r="36" spans="1:30" x14ac:dyDescent="0.2">
      <c r="A36" s="45" t="s">
        <v>201</v>
      </c>
      <c r="B36" s="79">
        <v>52851</v>
      </c>
      <c r="C36" s="79">
        <v>58784</v>
      </c>
      <c r="D36" s="79">
        <v>62352</v>
      </c>
      <c r="E36" s="79">
        <v>73516</v>
      </c>
      <c r="F36" s="79">
        <v>74411</v>
      </c>
      <c r="G36" s="79">
        <v>83570</v>
      </c>
      <c r="H36" s="79">
        <v>95562</v>
      </c>
      <c r="I36" s="79">
        <v>96280</v>
      </c>
      <c r="J36" s="79">
        <v>96152</v>
      </c>
      <c r="K36" s="79">
        <v>106283</v>
      </c>
      <c r="L36" s="79">
        <v>114870</v>
      </c>
      <c r="M36" s="79">
        <v>114141</v>
      </c>
      <c r="N36" s="79">
        <v>125699</v>
      </c>
      <c r="O36" s="79">
        <v>134813</v>
      </c>
      <c r="P36" s="79">
        <v>138127</v>
      </c>
      <c r="Q36" s="79">
        <v>124537</v>
      </c>
      <c r="R36" s="79">
        <v>183817</v>
      </c>
      <c r="S36" s="79">
        <v>171344</v>
      </c>
      <c r="T36" s="79">
        <v>162289</v>
      </c>
      <c r="U36" s="79">
        <v>186519</v>
      </c>
      <c r="V36" s="62">
        <v>204237</v>
      </c>
      <c r="W36" s="62">
        <v>222098</v>
      </c>
      <c r="X36" s="62">
        <v>254552</v>
      </c>
      <c r="Y36" s="62">
        <v>248045</v>
      </c>
      <c r="Z36" s="62">
        <v>251350</v>
      </c>
      <c r="AA36" s="62">
        <v>260391</v>
      </c>
      <c r="AB36" s="62">
        <f>274393</f>
        <v>274393</v>
      </c>
      <c r="AC36" s="62">
        <f>SUM(AC15,AC34)</f>
        <v>323330</v>
      </c>
      <c r="AD36" s="62">
        <f>SUM(AD15,AD34)</f>
        <v>348169</v>
      </c>
    </row>
    <row r="37" spans="1:30" x14ac:dyDescent="0.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W37" s="85"/>
      <c r="X37" s="85"/>
      <c r="Y37" s="85"/>
      <c r="Z37" s="85"/>
      <c r="AA37" s="85"/>
      <c r="AB37" s="85"/>
      <c r="AC37" s="85"/>
      <c r="AD37" s="85"/>
    </row>
    <row r="38" spans="1:30" x14ac:dyDescent="0.2">
      <c r="A38" s="46" t="s">
        <v>202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AB38" s="6"/>
    </row>
    <row r="39" spans="1:30" x14ac:dyDescent="0.2">
      <c r="A39" s="44" t="s">
        <v>203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AB39" s="6"/>
    </row>
    <row r="40" spans="1:30" x14ac:dyDescent="0.2">
      <c r="A40" s="6" t="s">
        <v>204</v>
      </c>
      <c r="B40" s="34">
        <v>15439</v>
      </c>
      <c r="C40" s="34">
        <v>14980</v>
      </c>
      <c r="D40" s="34">
        <v>14967</v>
      </c>
      <c r="E40" s="34">
        <v>14967</v>
      </c>
      <c r="F40" s="34">
        <v>14967</v>
      </c>
      <c r="G40" s="34">
        <v>14967</v>
      </c>
      <c r="H40" s="34">
        <v>14983</v>
      </c>
      <c r="I40" s="34">
        <v>14983</v>
      </c>
      <c r="J40" s="34">
        <v>14983</v>
      </c>
      <c r="K40" s="34">
        <v>14999</v>
      </c>
      <c r="L40" s="34">
        <v>14999</v>
      </c>
      <c r="M40" s="34">
        <v>15070</v>
      </c>
      <c r="N40" s="34">
        <v>14603</v>
      </c>
      <c r="O40" s="34">
        <v>14103</v>
      </c>
      <c r="P40" s="34">
        <v>15487</v>
      </c>
      <c r="Q40" s="34">
        <v>15487</v>
      </c>
      <c r="R40" s="34">
        <v>15487</v>
      </c>
      <c r="S40" s="34">
        <v>15487</v>
      </c>
      <c r="T40" s="34">
        <v>15487</v>
      </c>
      <c r="U40" s="34">
        <v>15487</v>
      </c>
      <c r="V40" s="34">
        <v>26490</v>
      </c>
      <c r="W40" s="34">
        <f t="shared" ref="W40:AD40" si="0">SUM(W41:W43)</f>
        <v>26368</v>
      </c>
      <c r="X40" s="34">
        <f t="shared" si="0"/>
        <v>26368</v>
      </c>
      <c r="Y40" s="34">
        <f t="shared" si="0"/>
        <v>26368</v>
      </c>
      <c r="Z40" s="34">
        <f t="shared" si="0"/>
        <v>26368</v>
      </c>
      <c r="AA40" s="34">
        <f t="shared" si="0"/>
        <v>26368</v>
      </c>
      <c r="AB40" s="34">
        <f t="shared" si="0"/>
        <v>26368</v>
      </c>
      <c r="AC40" s="34">
        <f t="shared" si="0"/>
        <v>26368</v>
      </c>
      <c r="AD40" s="34">
        <f t="shared" si="0"/>
        <v>26368</v>
      </c>
    </row>
    <row r="41" spans="1:30" x14ac:dyDescent="0.2">
      <c r="A41" s="6" t="s">
        <v>205</v>
      </c>
      <c r="B41" s="34">
        <v>1</v>
      </c>
      <c r="C41" s="34">
        <v>1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/>
      <c r="M41" s="34">
        <v>1</v>
      </c>
      <c r="N41" s="34">
        <v>2</v>
      </c>
      <c r="O41" s="34">
        <v>2</v>
      </c>
      <c r="P41" s="34">
        <v>2</v>
      </c>
      <c r="Q41" s="34">
        <v>2</v>
      </c>
      <c r="R41" s="34">
        <v>2</v>
      </c>
      <c r="S41" s="34">
        <v>2</v>
      </c>
      <c r="T41" s="34">
        <v>2</v>
      </c>
      <c r="U41" s="34">
        <v>2</v>
      </c>
      <c r="V41" s="34">
        <v>2</v>
      </c>
      <c r="W41" s="34">
        <v>2</v>
      </c>
      <c r="X41" s="34">
        <v>2</v>
      </c>
      <c r="Y41" s="34">
        <v>2</v>
      </c>
      <c r="Z41" s="34">
        <v>2</v>
      </c>
      <c r="AA41" s="34">
        <v>2</v>
      </c>
      <c r="AB41" s="34">
        <f>2</f>
        <v>2</v>
      </c>
      <c r="AC41" s="34">
        <v>2</v>
      </c>
      <c r="AD41" s="34">
        <f>2</f>
        <v>2</v>
      </c>
    </row>
    <row r="42" spans="1:30" x14ac:dyDescent="0.2">
      <c r="A42" s="6" t="s">
        <v>206</v>
      </c>
      <c r="B42" s="34">
        <v>15438</v>
      </c>
      <c r="C42" s="34">
        <v>15438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/>
      <c r="M42" s="34">
        <v>15509</v>
      </c>
      <c r="N42" s="34">
        <v>15509</v>
      </c>
      <c r="O42" s="34">
        <v>15486</v>
      </c>
      <c r="P42" s="34">
        <v>15486</v>
      </c>
      <c r="Q42" s="34">
        <v>15486</v>
      </c>
      <c r="R42" s="34">
        <v>15486</v>
      </c>
      <c r="S42" s="34">
        <v>15486</v>
      </c>
      <c r="T42" s="34">
        <v>15486</v>
      </c>
      <c r="U42" s="34">
        <v>15486</v>
      </c>
      <c r="V42" s="34">
        <v>26489</v>
      </c>
      <c r="W42" s="34">
        <v>26367</v>
      </c>
      <c r="X42" s="34">
        <v>26367</v>
      </c>
      <c r="Y42" s="34">
        <v>26367</v>
      </c>
      <c r="Z42" s="34">
        <v>26367</v>
      </c>
      <c r="AA42" s="34">
        <v>26367</v>
      </c>
      <c r="AB42" s="34">
        <f>26367</f>
        <v>26367</v>
      </c>
      <c r="AC42" s="34">
        <v>26367</v>
      </c>
      <c r="AD42" s="34">
        <f>26367</f>
        <v>26367</v>
      </c>
    </row>
    <row r="43" spans="1:30" x14ac:dyDescent="0.2">
      <c r="A43" s="6" t="s">
        <v>207</v>
      </c>
      <c r="B43" s="34"/>
      <c r="C43" s="34">
        <v>-459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/>
      <c r="M43" s="34">
        <v>-440</v>
      </c>
      <c r="N43" s="34">
        <v>-908</v>
      </c>
      <c r="O43" s="34">
        <v>-1606</v>
      </c>
      <c r="P43" s="34">
        <v>-1</v>
      </c>
      <c r="Q43" s="34">
        <v>-1</v>
      </c>
      <c r="R43" s="34">
        <v>-1</v>
      </c>
      <c r="S43" s="34">
        <v>-1</v>
      </c>
      <c r="T43" s="34">
        <v>-1</v>
      </c>
      <c r="U43" s="34">
        <v>-1</v>
      </c>
      <c r="V43" s="34">
        <v>-1</v>
      </c>
      <c r="W43" s="34">
        <v>-1</v>
      </c>
      <c r="X43" s="34">
        <v>-1</v>
      </c>
      <c r="Y43" s="34">
        <v>-1</v>
      </c>
      <c r="Z43" s="34">
        <v>-1</v>
      </c>
      <c r="AA43" s="34">
        <v>-1</v>
      </c>
      <c r="AB43" s="34">
        <v>-1</v>
      </c>
      <c r="AC43" s="34">
        <v>-1</v>
      </c>
      <c r="AD43" s="34">
        <f>-1</f>
        <v>-1</v>
      </c>
    </row>
    <row r="44" spans="1:30" x14ac:dyDescent="0.2">
      <c r="A44" s="6" t="s">
        <v>208</v>
      </c>
      <c r="B44" s="34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/>
      <c r="M44" s="34">
        <v>0</v>
      </c>
      <c r="N44" s="34"/>
      <c r="O44" s="34">
        <v>221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f>0</f>
        <v>0</v>
      </c>
      <c r="AC44" s="103">
        <f>0</f>
        <v>0</v>
      </c>
      <c r="AD44" s="103">
        <f>0</f>
        <v>0</v>
      </c>
    </row>
    <row r="45" spans="1:30" x14ac:dyDescent="0.2">
      <c r="A45" s="6" t="s">
        <v>209</v>
      </c>
      <c r="B45" s="34">
        <v>12880</v>
      </c>
      <c r="C45" s="34">
        <v>17704</v>
      </c>
      <c r="D45" s="34">
        <v>20009</v>
      </c>
      <c r="E45" s="34">
        <v>22688</v>
      </c>
      <c r="F45" s="34">
        <v>25771</v>
      </c>
      <c r="G45" s="34">
        <v>29332</v>
      </c>
      <c r="H45" s="34">
        <v>30259</v>
      </c>
      <c r="I45" s="34">
        <v>36537</v>
      </c>
      <c r="J45" s="34">
        <v>37011</v>
      </c>
      <c r="K45" s="34">
        <v>39697</v>
      </c>
      <c r="L45" s="34">
        <v>40068</v>
      </c>
      <c r="M45" s="34">
        <v>43052</v>
      </c>
      <c r="N45" s="34">
        <v>44263</v>
      </c>
      <c r="O45" s="34">
        <v>48702</v>
      </c>
      <c r="P45" s="34">
        <v>43428</v>
      </c>
      <c r="Q45" s="34">
        <v>39802</v>
      </c>
      <c r="R45" s="34">
        <v>41848</v>
      </c>
      <c r="S45" s="34">
        <v>37089</v>
      </c>
      <c r="T45" s="34">
        <v>35317</v>
      </c>
      <c r="U45" s="34">
        <v>35586</v>
      </c>
      <c r="V45" s="34">
        <v>36881</v>
      </c>
      <c r="W45" s="34">
        <v>34992</v>
      </c>
      <c r="X45" s="34">
        <v>46655</v>
      </c>
      <c r="Y45" s="34">
        <v>47821</v>
      </c>
      <c r="Z45" s="34">
        <v>45779</v>
      </c>
      <c r="AA45" s="34">
        <v>44523</v>
      </c>
      <c r="AB45" s="34">
        <f>43026</f>
        <v>43026</v>
      </c>
      <c r="AC45" s="34">
        <f>37609</f>
        <v>37609</v>
      </c>
      <c r="AD45" s="34">
        <f>28669</f>
        <v>28669</v>
      </c>
    </row>
    <row r="46" spans="1:30" x14ac:dyDescent="0.2">
      <c r="A46" s="6" t="s">
        <v>210</v>
      </c>
      <c r="B46" s="34">
        <v>28319</v>
      </c>
      <c r="C46" s="34">
        <v>32684</v>
      </c>
      <c r="D46" s="34">
        <v>34976</v>
      </c>
      <c r="E46" s="34">
        <v>37655</v>
      </c>
      <c r="F46" s="34">
        <v>40738</v>
      </c>
      <c r="G46" s="34">
        <v>44299</v>
      </c>
      <c r="H46" s="34">
        <v>45242</v>
      </c>
      <c r="I46" s="34">
        <v>51520</v>
      </c>
      <c r="J46" s="34">
        <v>51994</v>
      </c>
      <c r="K46" s="34">
        <v>54696</v>
      </c>
      <c r="L46" s="34">
        <v>55067</v>
      </c>
      <c r="M46" s="34">
        <v>58122</v>
      </c>
      <c r="N46" s="34">
        <v>58866</v>
      </c>
      <c r="O46" s="34">
        <v>62805</v>
      </c>
      <c r="P46" s="34">
        <v>58915</v>
      </c>
      <c r="Q46" s="34">
        <v>55289</v>
      </c>
      <c r="R46" s="34">
        <v>57335</v>
      </c>
      <c r="S46" s="34">
        <v>52576</v>
      </c>
      <c r="T46" s="34">
        <v>50804</v>
      </c>
      <c r="U46" s="34">
        <v>51073</v>
      </c>
      <c r="V46" s="34">
        <v>63371</v>
      </c>
      <c r="W46" s="34">
        <v>61360</v>
      </c>
      <c r="X46" s="34">
        <v>73023</v>
      </c>
      <c r="Y46" s="34">
        <v>74189</v>
      </c>
      <c r="Z46" s="34">
        <v>72147</v>
      </c>
      <c r="AA46" s="34">
        <v>70891</v>
      </c>
      <c r="AB46" s="34">
        <f>69394</f>
        <v>69394</v>
      </c>
      <c r="AC46" s="34">
        <f>63977</f>
        <v>63977</v>
      </c>
      <c r="AD46" s="34">
        <f>55037</f>
        <v>55037</v>
      </c>
    </row>
    <row r="47" spans="1:30" x14ac:dyDescent="0.2">
      <c r="A47" s="6" t="s">
        <v>165</v>
      </c>
      <c r="B47" s="34">
        <v>487</v>
      </c>
      <c r="C47" s="34">
        <v>372</v>
      </c>
      <c r="D47" s="34">
        <v>436</v>
      </c>
      <c r="E47" s="34">
        <v>408</v>
      </c>
      <c r="F47" s="34">
        <v>394</v>
      </c>
      <c r="G47" s="34">
        <v>387</v>
      </c>
      <c r="H47" s="34">
        <v>387</v>
      </c>
      <c r="I47" s="34">
        <v>351</v>
      </c>
      <c r="J47" s="34">
        <v>170</v>
      </c>
      <c r="K47" s="34">
        <v>147</v>
      </c>
      <c r="L47" s="34">
        <v>83</v>
      </c>
      <c r="M47" s="34">
        <v>28</v>
      </c>
      <c r="N47" s="34">
        <v>0</v>
      </c>
      <c r="O47" s="34">
        <v>0</v>
      </c>
      <c r="P47" s="34">
        <v>1</v>
      </c>
      <c r="Q47" s="34">
        <v>2</v>
      </c>
      <c r="R47" s="34">
        <v>15079</v>
      </c>
      <c r="S47" s="34">
        <v>0</v>
      </c>
      <c r="T47" s="34">
        <v>1</v>
      </c>
      <c r="U47" s="34">
        <v>0</v>
      </c>
      <c r="V47" s="34">
        <v>0</v>
      </c>
      <c r="W47" s="34">
        <v>0</v>
      </c>
      <c r="X47" s="34">
        <v>204</v>
      </c>
      <c r="Y47" s="34"/>
      <c r="Z47" s="34"/>
      <c r="AA47" s="34"/>
      <c r="AB47" s="34">
        <f>808</f>
        <v>808</v>
      </c>
      <c r="AC47" s="34">
        <f>808</f>
        <v>808</v>
      </c>
      <c r="AD47" s="34">
        <f>808</f>
        <v>808</v>
      </c>
    </row>
    <row r="48" spans="1:30" x14ac:dyDescent="0.2">
      <c r="A48" s="37" t="s">
        <v>211</v>
      </c>
      <c r="B48" s="78">
        <v>28806</v>
      </c>
      <c r="C48" s="78">
        <v>33056</v>
      </c>
      <c r="D48" s="78">
        <v>35412</v>
      </c>
      <c r="E48" s="78">
        <v>38063</v>
      </c>
      <c r="F48" s="78">
        <v>41132</v>
      </c>
      <c r="G48" s="78">
        <v>44686</v>
      </c>
      <c r="H48" s="78">
        <v>45629</v>
      </c>
      <c r="I48" s="78">
        <v>51871</v>
      </c>
      <c r="J48" s="78">
        <v>52164</v>
      </c>
      <c r="K48" s="78">
        <v>54843</v>
      </c>
      <c r="L48" s="78">
        <v>55150</v>
      </c>
      <c r="M48" s="78">
        <v>58150</v>
      </c>
      <c r="N48" s="78">
        <v>58866</v>
      </c>
      <c r="O48" s="78">
        <v>62805</v>
      </c>
      <c r="P48" s="78">
        <v>58916</v>
      </c>
      <c r="Q48" s="78">
        <v>55291</v>
      </c>
      <c r="R48" s="78">
        <v>72414</v>
      </c>
      <c r="S48" s="78">
        <v>52576</v>
      </c>
      <c r="T48" s="78">
        <v>50805</v>
      </c>
      <c r="U48" s="78">
        <v>51073</v>
      </c>
      <c r="V48" s="78">
        <v>63371</v>
      </c>
      <c r="W48" s="78">
        <v>61360</v>
      </c>
      <c r="X48" s="78">
        <v>73227</v>
      </c>
      <c r="Y48" s="78">
        <v>74189</v>
      </c>
      <c r="Z48" s="78">
        <v>72147</v>
      </c>
      <c r="AA48" s="78">
        <v>70891</v>
      </c>
      <c r="AB48" s="78">
        <f>70202</f>
        <v>70202</v>
      </c>
      <c r="AC48" s="78">
        <f>SUM(AC46:AC47)</f>
        <v>64785</v>
      </c>
      <c r="AD48" s="78">
        <f>SUM(AD46:AD47)</f>
        <v>55845</v>
      </c>
    </row>
    <row r="49" spans="1:30" x14ac:dyDescent="0.2">
      <c r="A49" s="3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AB49" s="6"/>
    </row>
    <row r="50" spans="1:30" x14ac:dyDescent="0.2">
      <c r="A50" s="44" t="s">
        <v>212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AB50" s="6"/>
    </row>
    <row r="51" spans="1:30" x14ac:dyDescent="0.2">
      <c r="A51" s="6" t="s">
        <v>213</v>
      </c>
      <c r="B51" s="34">
        <v>7658</v>
      </c>
      <c r="C51" s="34">
        <v>8456</v>
      </c>
      <c r="D51" s="34">
        <v>7466</v>
      </c>
      <c r="E51" s="34">
        <v>12811</v>
      </c>
      <c r="F51" s="34">
        <v>10750</v>
      </c>
      <c r="G51" s="34">
        <v>10176</v>
      </c>
      <c r="H51" s="34">
        <v>10050</v>
      </c>
      <c r="I51" s="34">
        <v>12411</v>
      </c>
      <c r="J51" s="34">
        <v>13375</v>
      </c>
      <c r="K51" s="34">
        <v>13138</v>
      </c>
      <c r="L51" s="34">
        <v>12950</v>
      </c>
      <c r="M51" s="34">
        <v>12415</v>
      </c>
      <c r="N51" s="34">
        <v>14973</v>
      </c>
      <c r="O51" s="34">
        <v>21418</v>
      </c>
      <c r="P51" s="34">
        <v>20673</v>
      </c>
      <c r="Q51" s="34">
        <v>17559</v>
      </c>
      <c r="R51" s="34">
        <v>33422</v>
      </c>
      <c r="S51" s="34">
        <v>42258</v>
      </c>
      <c r="T51" s="34">
        <v>33623</v>
      </c>
      <c r="U51" s="34">
        <v>34636</v>
      </c>
      <c r="V51" s="34">
        <v>50322</v>
      </c>
      <c r="W51" s="34">
        <v>67132</v>
      </c>
      <c r="X51" s="34">
        <v>75626</v>
      </c>
      <c r="Y51" s="34">
        <v>73970</v>
      </c>
      <c r="Z51" s="34">
        <v>81818</v>
      </c>
      <c r="AA51" s="34">
        <v>82112</v>
      </c>
      <c r="AB51" s="34">
        <f>122062</f>
        <v>122062</v>
      </c>
      <c r="AC51" s="34">
        <f>131773</f>
        <v>131773</v>
      </c>
      <c r="AD51" s="34">
        <f>147056</f>
        <v>147056</v>
      </c>
    </row>
    <row r="52" spans="1:30" x14ac:dyDescent="0.2">
      <c r="A52" s="6" t="s">
        <v>214</v>
      </c>
      <c r="B52" s="34">
        <v>129</v>
      </c>
      <c r="C52" s="34">
        <v>48</v>
      </c>
      <c r="D52" s="34">
        <v>30</v>
      </c>
      <c r="E52" s="34">
        <v>980</v>
      </c>
      <c r="F52" s="34">
        <v>1041</v>
      </c>
      <c r="G52" s="34">
        <v>785</v>
      </c>
      <c r="H52" s="34">
        <v>678</v>
      </c>
      <c r="I52" s="34">
        <v>2854</v>
      </c>
      <c r="J52" s="34">
        <v>4024</v>
      </c>
      <c r="K52" s="34">
        <v>923</v>
      </c>
      <c r="L52" s="34">
        <v>610</v>
      </c>
      <c r="M52" s="34">
        <v>859</v>
      </c>
      <c r="N52" s="34">
        <v>3270</v>
      </c>
      <c r="O52" s="34">
        <v>2546</v>
      </c>
      <c r="P52" s="34">
        <v>2154</v>
      </c>
      <c r="Q52" s="34">
        <v>1995</v>
      </c>
      <c r="R52" s="34">
        <v>2868</v>
      </c>
      <c r="S52" s="34">
        <v>3227</v>
      </c>
      <c r="T52" s="34">
        <v>1411</v>
      </c>
      <c r="U52" s="34">
        <v>26734</v>
      </c>
      <c r="V52" s="34">
        <v>28044</v>
      </c>
      <c r="W52" s="34">
        <v>31230</v>
      </c>
      <c r="X52" s="34">
        <v>23733</v>
      </c>
      <c r="Y52" s="34">
        <v>22978</v>
      </c>
      <c r="Z52" s="34">
        <v>9770</v>
      </c>
      <c r="AA52" s="34">
        <v>8957</v>
      </c>
      <c r="AB52" s="34">
        <f>6573</f>
        <v>6573</v>
      </c>
      <c r="AC52" s="34">
        <f>SUM(AC53:AC54)</f>
        <v>11611</v>
      </c>
      <c r="AD52" s="34">
        <f>SUM(AD53:AD54)</f>
        <v>5807</v>
      </c>
    </row>
    <row r="53" spans="1:30" x14ac:dyDescent="0.2">
      <c r="A53" s="102" t="s">
        <v>215</v>
      </c>
      <c r="B53" s="34">
        <v>129</v>
      </c>
      <c r="C53" s="34">
        <v>48</v>
      </c>
      <c r="D53" s="34">
        <v>30</v>
      </c>
      <c r="E53" s="34">
        <v>980</v>
      </c>
      <c r="F53" s="34">
        <v>1041</v>
      </c>
      <c r="G53" s="34">
        <v>785</v>
      </c>
      <c r="H53" s="34">
        <v>678</v>
      </c>
      <c r="I53" s="34">
        <v>2854</v>
      </c>
      <c r="J53" s="34">
        <v>4024</v>
      </c>
      <c r="K53" s="34">
        <v>923</v>
      </c>
      <c r="L53" s="34">
        <v>610</v>
      </c>
      <c r="M53" s="34">
        <v>859</v>
      </c>
      <c r="N53" s="34">
        <v>3270</v>
      </c>
      <c r="O53" s="34">
        <v>2546</v>
      </c>
      <c r="P53" s="34">
        <v>2154</v>
      </c>
      <c r="Q53" s="34">
        <v>1777</v>
      </c>
      <c r="R53" s="34">
        <v>2867</v>
      </c>
      <c r="S53" s="34">
        <v>3227</v>
      </c>
      <c r="T53" s="34">
        <v>1411</v>
      </c>
      <c r="U53" s="34">
        <v>26734</v>
      </c>
      <c r="V53" s="34">
        <v>28044</v>
      </c>
      <c r="W53" s="34">
        <v>31230</v>
      </c>
      <c r="X53" s="34">
        <f>X52</f>
        <v>23733</v>
      </c>
      <c r="Y53" s="34">
        <v>22978</v>
      </c>
      <c r="Z53" s="34">
        <v>9770</v>
      </c>
      <c r="AA53" s="34">
        <v>8957</v>
      </c>
      <c r="AB53" s="34">
        <f>6573</f>
        <v>6573</v>
      </c>
      <c r="AC53" s="34">
        <f>11611</f>
        <v>11611</v>
      </c>
      <c r="AD53" s="34">
        <f>5807</f>
        <v>5807</v>
      </c>
    </row>
    <row r="54" spans="1:30" x14ac:dyDescent="0.2">
      <c r="A54" s="102" t="s">
        <v>216</v>
      </c>
      <c r="B54" s="34"/>
      <c r="C54" s="34">
        <v>0</v>
      </c>
      <c r="D54" s="34"/>
      <c r="E54" s="34">
        <v>0</v>
      </c>
      <c r="F54" s="34"/>
      <c r="G54" s="34">
        <v>0</v>
      </c>
      <c r="H54" s="34"/>
      <c r="I54" s="34">
        <v>0</v>
      </c>
      <c r="J54" s="34"/>
      <c r="K54" s="34">
        <v>0</v>
      </c>
      <c r="L54" s="34"/>
      <c r="M54" s="34">
        <v>0</v>
      </c>
      <c r="N54" s="34"/>
      <c r="O54" s="34">
        <v>0</v>
      </c>
      <c r="P54" s="34"/>
      <c r="Q54" s="34">
        <v>218</v>
      </c>
      <c r="R54" s="34">
        <v>1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/>
      <c r="Y54" s="34"/>
      <c r="Z54" s="34"/>
      <c r="AA54" s="34"/>
      <c r="AB54" s="34"/>
      <c r="AC54" s="34"/>
      <c r="AD54" s="34"/>
    </row>
    <row r="55" spans="1:30" x14ac:dyDescent="0.2">
      <c r="A55" s="6" t="s">
        <v>217</v>
      </c>
      <c r="B55" s="34">
        <v>75</v>
      </c>
      <c r="C55" s="34">
        <v>77</v>
      </c>
      <c r="D55" s="34">
        <v>61</v>
      </c>
      <c r="E55" s="34">
        <v>65</v>
      </c>
      <c r="F55" s="34">
        <v>61</v>
      </c>
      <c r="G55" s="34">
        <v>89</v>
      </c>
      <c r="H55" s="34">
        <v>91</v>
      </c>
      <c r="I55" s="34">
        <v>114</v>
      </c>
      <c r="J55" s="34">
        <v>112</v>
      </c>
      <c r="K55" s="34">
        <v>117</v>
      </c>
      <c r="L55" s="34">
        <v>109</v>
      </c>
      <c r="M55" s="34">
        <v>107</v>
      </c>
      <c r="N55" s="34">
        <v>99</v>
      </c>
      <c r="O55" s="34">
        <v>102</v>
      </c>
      <c r="P55" s="34">
        <v>85</v>
      </c>
      <c r="Q55" s="34">
        <v>121</v>
      </c>
      <c r="R55" s="34">
        <v>136</v>
      </c>
      <c r="S55" s="34">
        <v>116</v>
      </c>
      <c r="T55" s="34">
        <v>183</v>
      </c>
      <c r="U55" s="34">
        <v>129</v>
      </c>
      <c r="V55" s="34">
        <v>111</v>
      </c>
      <c r="W55" s="34">
        <v>117</v>
      </c>
      <c r="X55" s="34">
        <v>418</v>
      </c>
      <c r="Y55" s="34">
        <v>406</v>
      </c>
      <c r="Z55" s="34">
        <v>396</v>
      </c>
      <c r="AA55" s="34">
        <v>366</v>
      </c>
      <c r="AB55" s="34">
        <f>347</f>
        <v>347</v>
      </c>
      <c r="AC55" s="34">
        <f>208</f>
        <v>208</v>
      </c>
      <c r="AD55" s="34">
        <f>179</f>
        <v>179</v>
      </c>
    </row>
    <row r="56" spans="1:30" x14ac:dyDescent="0.2">
      <c r="A56" s="6" t="s">
        <v>431</v>
      </c>
      <c r="B56" s="34">
        <f>0</f>
        <v>0</v>
      </c>
      <c r="C56" s="34">
        <f>0</f>
        <v>0</v>
      </c>
      <c r="D56" s="34">
        <f>0</f>
        <v>0</v>
      </c>
      <c r="E56" s="34">
        <f>0</f>
        <v>0</v>
      </c>
      <c r="F56" s="34">
        <f>0</f>
        <v>0</v>
      </c>
      <c r="G56" s="34">
        <f>0</f>
        <v>0</v>
      </c>
      <c r="H56" s="34">
        <f>0</f>
        <v>0</v>
      </c>
      <c r="I56" s="34">
        <f>0</f>
        <v>0</v>
      </c>
      <c r="J56" s="34">
        <f>0</f>
        <v>0</v>
      </c>
      <c r="K56" s="34">
        <f>0</f>
        <v>0</v>
      </c>
      <c r="L56" s="34">
        <f>0</f>
        <v>0</v>
      </c>
      <c r="M56" s="34">
        <f>0</f>
        <v>0</v>
      </c>
      <c r="N56" s="34">
        <f>0</f>
        <v>0</v>
      </c>
      <c r="O56" s="34">
        <f>0</f>
        <v>0</v>
      </c>
      <c r="P56" s="34">
        <f>0</f>
        <v>0</v>
      </c>
      <c r="Q56" s="34">
        <f>0</f>
        <v>0</v>
      </c>
      <c r="R56" s="34">
        <f>0</f>
        <v>0</v>
      </c>
      <c r="S56" s="34">
        <f>0</f>
        <v>0</v>
      </c>
      <c r="T56" s="34">
        <f>0</f>
        <v>0</v>
      </c>
      <c r="U56" s="34">
        <f>0</f>
        <v>0</v>
      </c>
      <c r="V56" s="34">
        <f>0</f>
        <v>0</v>
      </c>
      <c r="W56" s="34">
        <f>0</f>
        <v>0</v>
      </c>
      <c r="X56" s="34">
        <f>0</f>
        <v>0</v>
      </c>
      <c r="Y56" s="34">
        <f>0</f>
        <v>0</v>
      </c>
      <c r="Z56" s="34">
        <f>0</f>
        <v>0</v>
      </c>
      <c r="AA56" s="34">
        <f>0</f>
        <v>0</v>
      </c>
      <c r="AB56" s="34">
        <f>0</f>
        <v>0</v>
      </c>
      <c r="AC56" s="34">
        <f>7497</f>
        <v>7497</v>
      </c>
      <c r="AD56" s="34">
        <f>12172</f>
        <v>12172</v>
      </c>
    </row>
    <row r="57" spans="1:30" x14ac:dyDescent="0.2">
      <c r="A57" s="6" t="s">
        <v>218</v>
      </c>
      <c r="B57" s="34">
        <v>19</v>
      </c>
      <c r="C57" s="34">
        <v>98</v>
      </c>
      <c r="D57" s="34">
        <v>272</v>
      </c>
      <c r="E57" s="34">
        <v>226</v>
      </c>
      <c r="F57" s="34">
        <v>402</v>
      </c>
      <c r="G57" s="34">
        <v>826</v>
      </c>
      <c r="H57" s="34">
        <v>650</v>
      </c>
      <c r="I57" s="34">
        <v>1456</v>
      </c>
      <c r="J57" s="34">
        <v>1249</v>
      </c>
      <c r="K57" s="34">
        <v>1810</v>
      </c>
      <c r="L57" s="34">
        <v>1096</v>
      </c>
      <c r="M57" s="34">
        <v>1557</v>
      </c>
      <c r="N57" s="34">
        <v>1173</v>
      </c>
      <c r="O57" s="34">
        <v>2941</v>
      </c>
      <c r="P57" s="34">
        <v>2428</v>
      </c>
      <c r="Q57" s="34">
        <v>1599</v>
      </c>
      <c r="R57" s="34">
        <v>6551</v>
      </c>
      <c r="S57" s="34">
        <v>6463</v>
      </c>
      <c r="T57" s="34">
        <v>7342</v>
      </c>
      <c r="U57" s="34">
        <v>7930</v>
      </c>
      <c r="V57" s="34">
        <v>8376</v>
      </c>
      <c r="W57" s="34">
        <v>7428</v>
      </c>
      <c r="X57" s="34">
        <v>7745</v>
      </c>
      <c r="Y57" s="34">
        <v>7513</v>
      </c>
      <c r="Z57" s="34">
        <v>6695</v>
      </c>
      <c r="AA57" s="34">
        <v>3578</v>
      </c>
      <c r="AB57" s="34">
        <f>4592</f>
        <v>4592</v>
      </c>
      <c r="AC57" s="34">
        <f>6997</f>
        <v>6997</v>
      </c>
      <c r="AD57" s="34">
        <f>8356</f>
        <v>8356</v>
      </c>
    </row>
    <row r="58" spans="1:30" x14ac:dyDescent="0.2">
      <c r="A58" s="37" t="s">
        <v>219</v>
      </c>
      <c r="B58" s="78">
        <v>7881</v>
      </c>
      <c r="C58" s="78">
        <v>8679</v>
      </c>
      <c r="D58" s="78">
        <v>7829</v>
      </c>
      <c r="E58" s="78">
        <v>14082</v>
      </c>
      <c r="F58" s="78">
        <v>12254</v>
      </c>
      <c r="G58" s="78">
        <v>11876</v>
      </c>
      <c r="H58" s="78">
        <v>11469</v>
      </c>
      <c r="I58" s="78">
        <v>16835</v>
      </c>
      <c r="J58" s="78">
        <v>18760</v>
      </c>
      <c r="K58" s="78">
        <v>15988</v>
      </c>
      <c r="L58" s="78">
        <v>14765</v>
      </c>
      <c r="M58" s="78">
        <v>14938</v>
      </c>
      <c r="N58" s="78">
        <v>19515</v>
      </c>
      <c r="O58" s="78">
        <v>27007</v>
      </c>
      <c r="P58" s="78">
        <v>25340</v>
      </c>
      <c r="Q58" s="78">
        <v>21274</v>
      </c>
      <c r="R58" s="78">
        <v>42977</v>
      </c>
      <c r="S58" s="78">
        <v>52064</v>
      </c>
      <c r="T58" s="78">
        <v>42559</v>
      </c>
      <c r="U58" s="78">
        <v>69429</v>
      </c>
      <c r="V58" s="78">
        <v>86853</v>
      </c>
      <c r="W58" s="78">
        <v>105907</v>
      </c>
      <c r="X58" s="78">
        <v>107522</v>
      </c>
      <c r="Y58" s="78">
        <v>104867</v>
      </c>
      <c r="Z58" s="78">
        <v>98679</v>
      </c>
      <c r="AA58" s="78">
        <v>95013</v>
      </c>
      <c r="AB58" s="78">
        <f>133574</f>
        <v>133574</v>
      </c>
      <c r="AC58" s="78">
        <f>SUM(AC51:AC52,AC55:AC57)</f>
        <v>158086</v>
      </c>
      <c r="AD58" s="78">
        <f>SUM(AD51:AD52,AD55:AD57)</f>
        <v>173570</v>
      </c>
    </row>
    <row r="59" spans="1:30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AB59" s="6"/>
    </row>
    <row r="60" spans="1:30" x14ac:dyDescent="0.2">
      <c r="A60" s="44" t="s">
        <v>220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AB60" s="6"/>
    </row>
    <row r="61" spans="1:30" x14ac:dyDescent="0.2">
      <c r="A61" s="6" t="s">
        <v>213</v>
      </c>
      <c r="B61" s="34">
        <v>1632</v>
      </c>
      <c r="C61" s="34">
        <v>1950</v>
      </c>
      <c r="D61" s="34">
        <v>3375</v>
      </c>
      <c r="E61" s="34">
        <v>3825</v>
      </c>
      <c r="F61" s="34">
        <v>2359</v>
      </c>
      <c r="G61" s="34">
        <v>3043</v>
      </c>
      <c r="H61" s="34">
        <v>4689</v>
      </c>
      <c r="I61" s="34">
        <v>3880</v>
      </c>
      <c r="J61" s="34">
        <v>5141</v>
      </c>
      <c r="K61" s="34">
        <v>6276</v>
      </c>
      <c r="L61" s="34">
        <v>8720</v>
      </c>
      <c r="M61" s="34">
        <v>5639</v>
      </c>
      <c r="N61" s="34">
        <v>4051</v>
      </c>
      <c r="O61" s="34">
        <v>2569</v>
      </c>
      <c r="P61" s="34">
        <v>2133</v>
      </c>
      <c r="Q61" s="34">
        <v>3353</v>
      </c>
      <c r="R61" s="34">
        <v>7229</v>
      </c>
      <c r="S61" s="34">
        <v>10434</v>
      </c>
      <c r="T61" s="34">
        <v>15161</v>
      </c>
      <c r="U61" s="34">
        <v>15869</v>
      </c>
      <c r="V61" s="34">
        <v>9985</v>
      </c>
      <c r="W61" s="34">
        <v>16306</v>
      </c>
      <c r="X61" s="34">
        <v>20968</v>
      </c>
      <c r="Y61" s="34">
        <v>19118</v>
      </c>
      <c r="Z61" s="34">
        <v>17349</v>
      </c>
      <c r="AA61" s="34">
        <v>36499</v>
      </c>
      <c r="AB61" s="34">
        <v>20181</v>
      </c>
      <c r="AC61" s="34">
        <f>44820</f>
        <v>44820</v>
      </c>
      <c r="AD61" s="34">
        <f>58199</f>
        <v>58199</v>
      </c>
    </row>
    <row r="62" spans="1:30" x14ac:dyDescent="0.2">
      <c r="A62" s="6" t="s">
        <v>214</v>
      </c>
      <c r="B62" s="34">
        <v>13487</v>
      </c>
      <c r="C62" s="34">
        <v>13539</v>
      </c>
      <c r="D62" s="34">
        <v>14570</v>
      </c>
      <c r="E62" s="34">
        <v>16966</v>
      </c>
      <c r="F62" s="34">
        <v>18399</v>
      </c>
      <c r="G62" s="34">
        <v>22300</v>
      </c>
      <c r="H62" s="34">
        <v>32436</v>
      </c>
      <c r="I62" s="34">
        <v>21460</v>
      </c>
      <c r="J62" s="34">
        <v>18451</v>
      </c>
      <c r="K62" s="34">
        <v>25630</v>
      </c>
      <c r="L62" s="34">
        <v>34375</v>
      </c>
      <c r="M62" s="34">
        <v>33666</v>
      </c>
      <c r="N62" s="34">
        <v>41773</v>
      </c>
      <c r="O62" s="34">
        <v>40569</v>
      </c>
      <c r="P62" s="34">
        <v>50512</v>
      </c>
      <c r="Q62" s="34">
        <v>43658</v>
      </c>
      <c r="R62" s="34">
        <v>60520</v>
      </c>
      <c r="S62" s="34">
        <v>55581</v>
      </c>
      <c r="T62" s="34">
        <v>53142</v>
      </c>
      <c r="U62" s="34">
        <v>49750</v>
      </c>
      <c r="V62" s="34">
        <v>42788</v>
      </c>
      <c r="W62" s="34">
        <v>38007</v>
      </c>
      <c r="X62" s="34">
        <v>52835</v>
      </c>
      <c r="Y62" s="34">
        <f t="shared" ref="Y62:AD62" si="1">Y63+Y64</f>
        <v>40572</v>
      </c>
      <c r="Z62" s="34">
        <f t="shared" si="1"/>
        <v>53440</v>
      </c>
      <c r="AA62" s="34">
        <f t="shared" si="1"/>
        <v>48765</v>
      </c>
      <c r="AB62" s="34">
        <f t="shared" si="1"/>
        <v>41806</v>
      </c>
      <c r="AC62" s="34">
        <f t="shared" si="1"/>
        <v>42935</v>
      </c>
      <c r="AD62" s="34">
        <f t="shared" si="1"/>
        <v>46299</v>
      </c>
    </row>
    <row r="63" spans="1:30" x14ac:dyDescent="0.2">
      <c r="A63" s="102" t="s">
        <v>221</v>
      </c>
      <c r="B63" s="101">
        <v>13487</v>
      </c>
      <c r="C63" s="101">
        <v>13539</v>
      </c>
      <c r="D63" s="101">
        <v>14570</v>
      </c>
      <c r="E63" s="101">
        <v>16966</v>
      </c>
      <c r="F63" s="101">
        <v>18399</v>
      </c>
      <c r="G63" s="101">
        <v>22300</v>
      </c>
      <c r="H63" s="101">
        <v>32436</v>
      </c>
      <c r="I63" s="101">
        <v>21460</v>
      </c>
      <c r="J63" s="101">
        <v>18451</v>
      </c>
      <c r="K63" s="101">
        <v>25630</v>
      </c>
      <c r="L63" s="101">
        <v>34375</v>
      </c>
      <c r="M63" s="101">
        <v>33666</v>
      </c>
      <c r="N63" s="101">
        <v>41773</v>
      </c>
      <c r="O63" s="101">
        <v>14920</v>
      </c>
      <c r="P63" s="101">
        <v>16371</v>
      </c>
      <c r="Q63" s="101">
        <v>16727</v>
      </c>
      <c r="R63" s="101">
        <v>19918</v>
      </c>
      <c r="S63" s="101">
        <v>19142</v>
      </c>
      <c r="T63" s="101">
        <v>19913</v>
      </c>
      <c r="U63" s="101">
        <v>21216</v>
      </c>
      <c r="V63" s="101">
        <v>20703</v>
      </c>
      <c r="W63" s="101">
        <v>23692</v>
      </c>
      <c r="X63" s="101">
        <v>36013</v>
      </c>
      <c r="Y63" s="101">
        <v>28527</v>
      </c>
      <c r="Z63" s="101">
        <f>39877</f>
        <v>39877</v>
      </c>
      <c r="AA63" s="101">
        <f>40168</f>
        <v>40168</v>
      </c>
      <c r="AB63" s="101">
        <f>29673</f>
        <v>29673</v>
      </c>
      <c r="AC63" s="101">
        <f>29489</f>
        <v>29489</v>
      </c>
      <c r="AD63" s="101">
        <f>31884</f>
        <v>31884</v>
      </c>
    </row>
    <row r="64" spans="1:30" x14ac:dyDescent="0.2">
      <c r="A64" s="102" t="s">
        <v>216</v>
      </c>
      <c r="B64" s="101"/>
      <c r="C64" s="101">
        <v>0</v>
      </c>
      <c r="D64" s="101"/>
      <c r="E64" s="101">
        <v>0</v>
      </c>
      <c r="F64" s="101"/>
      <c r="G64" s="101">
        <v>0</v>
      </c>
      <c r="H64" s="101"/>
      <c r="I64" s="101">
        <v>0</v>
      </c>
      <c r="J64" s="101"/>
      <c r="K64" s="101">
        <v>0</v>
      </c>
      <c r="L64" s="101"/>
      <c r="M64" s="101">
        <v>0</v>
      </c>
      <c r="N64" s="101"/>
      <c r="O64" s="101">
        <v>25649</v>
      </c>
      <c r="P64" s="101">
        <v>34141</v>
      </c>
      <c r="Q64" s="101">
        <v>26931</v>
      </c>
      <c r="R64" s="101">
        <v>40602</v>
      </c>
      <c r="S64" s="101">
        <v>36439</v>
      </c>
      <c r="T64" s="101">
        <v>33229</v>
      </c>
      <c r="U64" s="101">
        <v>28351</v>
      </c>
      <c r="V64" s="101">
        <v>22085</v>
      </c>
      <c r="W64" s="101">
        <v>14157</v>
      </c>
      <c r="X64" s="101">
        <v>14948</v>
      </c>
      <c r="Y64" s="101">
        <v>12045</v>
      </c>
      <c r="Z64" s="101">
        <v>13563</v>
      </c>
      <c r="AA64" s="101">
        <f>8597</f>
        <v>8597</v>
      </c>
      <c r="AB64" s="101">
        <f>12133</f>
        <v>12133</v>
      </c>
      <c r="AC64" s="101">
        <f>13446</f>
        <v>13446</v>
      </c>
      <c r="AD64" s="101">
        <f>14415</f>
        <v>14415</v>
      </c>
    </row>
    <row r="65" spans="1:30" x14ac:dyDescent="0.2">
      <c r="A65" s="6" t="s">
        <v>217</v>
      </c>
      <c r="B65" s="34">
        <v>1045</v>
      </c>
      <c r="C65" s="34">
        <v>1560</v>
      </c>
      <c r="D65" s="34">
        <v>1166</v>
      </c>
      <c r="E65" s="34">
        <v>580</v>
      </c>
      <c r="F65" s="34">
        <v>267</v>
      </c>
      <c r="G65" s="34">
        <v>1665</v>
      </c>
      <c r="H65" s="34">
        <v>1339</v>
      </c>
      <c r="I65" s="34">
        <v>2234</v>
      </c>
      <c r="J65" s="34">
        <v>1636</v>
      </c>
      <c r="K65" s="34">
        <v>3546</v>
      </c>
      <c r="L65" s="34">
        <v>1860</v>
      </c>
      <c r="M65" s="34">
        <v>1748</v>
      </c>
      <c r="N65" s="34">
        <v>1494</v>
      </c>
      <c r="O65" s="34">
        <v>1863</v>
      </c>
      <c r="P65" s="34">
        <v>1226</v>
      </c>
      <c r="Q65" s="34">
        <v>961</v>
      </c>
      <c r="R65" s="34">
        <v>677</v>
      </c>
      <c r="S65" s="34">
        <v>689</v>
      </c>
      <c r="T65" s="34">
        <v>622</v>
      </c>
      <c r="U65" s="34">
        <v>398</v>
      </c>
      <c r="V65" s="34">
        <v>865</v>
      </c>
      <c r="W65" s="34">
        <v>518</v>
      </c>
      <c r="X65" s="34">
        <v>1272</v>
      </c>
      <c r="Y65" s="34">
        <v>9058</v>
      </c>
      <c r="Z65" s="98">
        <v>8741</v>
      </c>
      <c r="AA65" s="98">
        <v>7915</v>
      </c>
      <c r="AB65" s="98">
        <f>8167</f>
        <v>8167</v>
      </c>
      <c r="AC65" s="98">
        <f>11960</f>
        <v>11960</v>
      </c>
      <c r="AD65" s="98">
        <f>13244</f>
        <v>13244</v>
      </c>
    </row>
    <row r="66" spans="1:30" x14ac:dyDescent="0.2">
      <c r="A66" s="6" t="s">
        <v>406</v>
      </c>
      <c r="B66" s="103" t="s">
        <v>407</v>
      </c>
      <c r="C66" s="103" t="s">
        <v>407</v>
      </c>
      <c r="D66" s="103" t="s">
        <v>407</v>
      </c>
      <c r="E66" s="103" t="s">
        <v>407</v>
      </c>
      <c r="F66" s="103" t="s">
        <v>407</v>
      </c>
      <c r="G66" s="103" t="s">
        <v>407</v>
      </c>
      <c r="H66" s="103" t="s">
        <v>407</v>
      </c>
      <c r="I66" s="103" t="s">
        <v>407</v>
      </c>
      <c r="J66" s="103" t="s">
        <v>407</v>
      </c>
      <c r="K66" s="103" t="s">
        <v>407</v>
      </c>
      <c r="L66" s="103" t="s">
        <v>407</v>
      </c>
      <c r="M66" s="103" t="s">
        <v>407</v>
      </c>
      <c r="N66" s="103" t="s">
        <v>407</v>
      </c>
      <c r="O66" s="103" t="s">
        <v>407</v>
      </c>
      <c r="P66" s="103" t="s">
        <v>407</v>
      </c>
      <c r="Q66" s="103" t="s">
        <v>407</v>
      </c>
      <c r="R66" s="103" t="s">
        <v>407</v>
      </c>
      <c r="S66" s="103" t="s">
        <v>407</v>
      </c>
      <c r="T66" s="103" t="s">
        <v>407</v>
      </c>
      <c r="U66" s="34">
        <v>183</v>
      </c>
      <c r="V66" s="34">
        <v>375</v>
      </c>
      <c r="W66" s="34">
        <v>158</v>
      </c>
      <c r="X66" s="34">
        <v>602</v>
      </c>
      <c r="Y66" s="34">
        <v>241</v>
      </c>
      <c r="Z66" s="98">
        <v>994</v>
      </c>
      <c r="AA66" s="98">
        <v>1308</v>
      </c>
      <c r="AB66" s="98">
        <f>463</f>
        <v>463</v>
      </c>
      <c r="AC66" s="98">
        <f>744</f>
        <v>744</v>
      </c>
      <c r="AD66" s="98">
        <f>1012</f>
        <v>1012</v>
      </c>
    </row>
    <row r="67" spans="1:30" x14ac:dyDescent="0.2">
      <c r="A67" s="47" t="s">
        <v>222</v>
      </c>
      <c r="B67" s="99">
        <v>16164</v>
      </c>
      <c r="C67" s="99">
        <v>17049</v>
      </c>
      <c r="D67" s="99">
        <v>19111</v>
      </c>
      <c r="E67" s="99">
        <v>21371</v>
      </c>
      <c r="F67" s="99">
        <v>21025</v>
      </c>
      <c r="G67" s="99">
        <v>27008</v>
      </c>
      <c r="H67" s="99">
        <v>38464</v>
      </c>
      <c r="I67" s="99">
        <v>27574</v>
      </c>
      <c r="J67" s="99">
        <v>25228</v>
      </c>
      <c r="K67" s="99">
        <v>35452</v>
      </c>
      <c r="L67" s="99">
        <v>44955</v>
      </c>
      <c r="M67" s="99">
        <v>41053</v>
      </c>
      <c r="N67" s="99">
        <v>47318</v>
      </c>
      <c r="O67" s="99">
        <v>45001</v>
      </c>
      <c r="P67" s="99">
        <v>53871</v>
      </c>
      <c r="Q67" s="99">
        <v>47972</v>
      </c>
      <c r="R67" s="99">
        <v>68426</v>
      </c>
      <c r="S67" s="99">
        <v>66704</v>
      </c>
      <c r="T67" s="99">
        <v>68925</v>
      </c>
      <c r="U67" s="99">
        <v>66017</v>
      </c>
      <c r="V67" s="78">
        <v>54013</v>
      </c>
      <c r="W67" s="78">
        <v>54831</v>
      </c>
      <c r="X67" s="78">
        <f>SUM(X61:X62)</f>
        <v>73803</v>
      </c>
      <c r="Y67" s="78">
        <v>68989</v>
      </c>
      <c r="Z67" s="78">
        <v>80524</v>
      </c>
      <c r="AA67" s="78">
        <v>94487</v>
      </c>
      <c r="AB67" s="78">
        <f>70617</f>
        <v>70617</v>
      </c>
      <c r="AC67" s="78">
        <f>SUM(AC61:AC62,AC65:AC66)</f>
        <v>100459</v>
      </c>
      <c r="AD67" s="78">
        <f>SUM(AD61:AD62,AD65:AD66)</f>
        <v>118754</v>
      </c>
    </row>
    <row r="68" spans="1:30" x14ac:dyDescent="0.2">
      <c r="A68" s="45" t="s">
        <v>223</v>
      </c>
      <c r="B68" s="79">
        <v>52851</v>
      </c>
      <c r="C68" s="79">
        <v>58784</v>
      </c>
      <c r="D68" s="79">
        <v>62352</v>
      </c>
      <c r="E68" s="79">
        <v>73516</v>
      </c>
      <c r="F68" s="79">
        <v>74411</v>
      </c>
      <c r="G68" s="79">
        <v>83570</v>
      </c>
      <c r="H68" s="79">
        <v>95562</v>
      </c>
      <c r="I68" s="79">
        <v>96280</v>
      </c>
      <c r="J68" s="79">
        <v>96152</v>
      </c>
      <c r="K68" s="79">
        <v>106283</v>
      </c>
      <c r="L68" s="79">
        <v>114870</v>
      </c>
      <c r="M68" s="79">
        <v>114141</v>
      </c>
      <c r="N68" s="79">
        <v>125699</v>
      </c>
      <c r="O68" s="79">
        <v>134813</v>
      </c>
      <c r="P68" s="79">
        <v>138127</v>
      </c>
      <c r="Q68" s="79">
        <v>124537</v>
      </c>
      <c r="R68" s="79">
        <v>183817</v>
      </c>
      <c r="S68" s="79">
        <v>171344</v>
      </c>
      <c r="T68" s="79">
        <v>162289</v>
      </c>
      <c r="U68" s="79">
        <v>186519</v>
      </c>
      <c r="V68" s="100">
        <v>204237</v>
      </c>
      <c r="W68" s="100">
        <v>222098</v>
      </c>
      <c r="X68" s="100">
        <f>X67+X58+X48</f>
        <v>254552</v>
      </c>
      <c r="Y68" s="100">
        <v>248045</v>
      </c>
      <c r="Z68" s="100">
        <v>251350</v>
      </c>
      <c r="AA68" s="100">
        <v>260391</v>
      </c>
      <c r="AB68" s="100">
        <f>274393</f>
        <v>274393</v>
      </c>
      <c r="AC68" s="100">
        <f>SUM(AC48,AC58,AC67)</f>
        <v>323330</v>
      </c>
      <c r="AD68" s="100">
        <f>SUM(AD48,AD58,AD67)</f>
        <v>348169</v>
      </c>
    </row>
    <row r="69" spans="1:30" x14ac:dyDescent="0.2">
      <c r="Y69" s="34"/>
    </row>
    <row r="70" spans="1:30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C70" s="34"/>
      <c r="AD70" s="34"/>
    </row>
    <row r="73" spans="1:30" x14ac:dyDescent="0.2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C73" s="34"/>
      <c r="AD73" s="34"/>
    </row>
  </sheetData>
  <hyperlinks>
    <hyperlink ref="A3" location="Contents!A1" display="Back to Contents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S75"/>
  <sheetViews>
    <sheetView showGridLines="0" topLeftCell="A52" zoomScaleNormal="100" workbookViewId="0">
      <pane xSplit="1" topLeftCell="AD1" activePane="topRight" state="frozen"/>
      <selection pane="topRight" activeCell="AL78" sqref="AL78"/>
    </sheetView>
  </sheetViews>
  <sheetFormatPr defaultColWidth="9.140625" defaultRowHeight="14.25" outlineLevelCol="1" x14ac:dyDescent="0.2"/>
  <cols>
    <col min="1" max="1" width="78.7109375" style="41" bestFit="1" customWidth="1"/>
    <col min="2" max="15" width="9.28515625" style="6" bestFit="1" customWidth="1"/>
    <col min="16" max="16" width="9.140625" style="6"/>
    <col min="17" max="36" width="9.140625" style="6" customWidth="1" outlineLevel="1"/>
    <col min="37" max="38" width="9.28515625" style="6" customWidth="1" outlineLevel="1"/>
    <col min="39" max="40" width="9.28515625" style="6" bestFit="1" customWidth="1" outlineLevel="1"/>
    <col min="41" max="42" width="10.28515625" style="6" bestFit="1" customWidth="1" outlineLevel="1"/>
    <col min="43" max="43" width="9.140625" style="41" outlineLevel="1"/>
    <col min="44" max="44" width="10.28515625" style="6" bestFit="1" customWidth="1" outlineLevel="1"/>
    <col min="45" max="45" width="9.140625" style="41" outlineLevel="1"/>
    <col min="46" max="16384" width="9.140625" style="41"/>
  </cols>
  <sheetData>
    <row r="2" spans="1:45" ht="18" x14ac:dyDescent="0.25">
      <c r="A2" s="54" t="s">
        <v>224</v>
      </c>
    </row>
    <row r="3" spans="1:45" x14ac:dyDescent="0.2">
      <c r="A3" s="35" t="s">
        <v>1</v>
      </c>
    </row>
    <row r="5" spans="1:45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5"/>
      <c r="Q5" s="76" t="s">
        <v>116</v>
      </c>
      <c r="R5" s="76" t="s">
        <v>117</v>
      </c>
      <c r="S5" s="76" t="s">
        <v>118</v>
      </c>
      <c r="T5" s="76" t="s">
        <v>119</v>
      </c>
      <c r="U5" s="76" t="s">
        <v>120</v>
      </c>
      <c r="V5" s="76" t="s">
        <v>121</v>
      </c>
      <c r="W5" s="76" t="s">
        <v>122</v>
      </c>
      <c r="X5" s="76" t="s">
        <v>123</v>
      </c>
      <c r="Y5" s="76" t="s">
        <v>124</v>
      </c>
      <c r="Z5" s="76" t="s">
        <v>125</v>
      </c>
      <c r="AA5" s="76" t="s">
        <v>126</v>
      </c>
      <c r="AB5" s="76" t="s">
        <v>127</v>
      </c>
      <c r="AC5" s="76" t="s">
        <v>128</v>
      </c>
      <c r="AD5" s="76" t="s">
        <v>129</v>
      </c>
      <c r="AE5" s="76" t="s">
        <v>130</v>
      </c>
      <c r="AF5" s="76" t="s">
        <v>131</v>
      </c>
      <c r="AG5" s="76" t="s">
        <v>132</v>
      </c>
      <c r="AH5" s="76" t="s">
        <v>133</v>
      </c>
      <c r="AI5" s="77" t="s">
        <v>134</v>
      </c>
      <c r="AJ5" s="77" t="s">
        <v>135</v>
      </c>
      <c r="AK5" s="77" t="s">
        <v>291</v>
      </c>
      <c r="AL5" s="77" t="s">
        <v>293</v>
      </c>
      <c r="AM5" s="77" t="s">
        <v>306</v>
      </c>
      <c r="AN5" s="77" t="s">
        <v>311</v>
      </c>
      <c r="AO5" s="77" t="s">
        <v>395</v>
      </c>
      <c r="AP5" s="77" t="s">
        <v>403</v>
      </c>
      <c r="AQ5" s="77" t="s">
        <v>425</v>
      </c>
      <c r="AR5" s="77" t="s">
        <v>429</v>
      </c>
      <c r="AS5" s="77" t="s">
        <v>482</v>
      </c>
    </row>
    <row r="6" spans="1:45" x14ac:dyDescent="0.2">
      <c r="A6" s="5" t="s">
        <v>225</v>
      </c>
      <c r="AQ6" s="6"/>
      <c r="AS6" s="6"/>
    </row>
    <row r="7" spans="1:45" x14ac:dyDescent="0.2">
      <c r="A7" s="48" t="s">
        <v>161</v>
      </c>
      <c r="B7" s="104">
        <f>SUM(Q7:R7)</f>
        <v>7440</v>
      </c>
      <c r="C7" s="104">
        <f>SUM(S7:T7)</f>
        <v>5000</v>
      </c>
      <c r="D7" s="104">
        <f>SUM(U7:V7)</f>
        <v>6664</v>
      </c>
      <c r="E7" s="104">
        <f>SUM(W7:X7)</f>
        <v>8369</v>
      </c>
      <c r="F7" s="104">
        <f>SUM(Y7:Z7)</f>
        <v>5429</v>
      </c>
      <c r="G7" s="104">
        <f>SUM(AA7:AB7)</f>
        <v>4902</v>
      </c>
      <c r="H7" s="104">
        <f>SUM(AC7:AD7)</f>
        <v>7893</v>
      </c>
      <c r="I7" s="104">
        <f>SUM(AE7:AF7)</f>
        <v>-700</v>
      </c>
      <c r="J7" s="104">
        <f>SUM(AG7:AH7)</f>
        <v>186</v>
      </c>
      <c r="K7" s="105">
        <f>SUM(AI7:AJ7)</f>
        <v>2036</v>
      </c>
      <c r="L7" s="105">
        <f>SUM(AK7:AL7)</f>
        <v>3007</v>
      </c>
      <c r="M7" s="105">
        <f>SUM(AM7:AN7)</f>
        <v>13001</v>
      </c>
      <c r="N7" s="105">
        <v>-3370</v>
      </c>
      <c r="O7" s="105">
        <f>-6914</f>
        <v>-6914</v>
      </c>
      <c r="Q7" s="104">
        <v>2751</v>
      </c>
      <c r="R7" s="104">
        <v>4689</v>
      </c>
      <c r="S7" s="104">
        <v>2369</v>
      </c>
      <c r="T7" s="104">
        <v>2631</v>
      </c>
      <c r="U7" s="104">
        <v>3098</v>
      </c>
      <c r="V7" s="104">
        <v>3566</v>
      </c>
      <c r="W7" s="104">
        <v>927</v>
      </c>
      <c r="X7" s="104">
        <v>7442</v>
      </c>
      <c r="Y7" s="104">
        <v>2193</v>
      </c>
      <c r="Z7" s="104">
        <v>3236</v>
      </c>
      <c r="AA7" s="104">
        <v>1308</v>
      </c>
      <c r="AB7" s="104">
        <v>3594</v>
      </c>
      <c r="AC7" s="104">
        <v>2122</v>
      </c>
      <c r="AD7" s="104">
        <v>5771</v>
      </c>
      <c r="AE7" s="104">
        <v>-1981</v>
      </c>
      <c r="AF7" s="104">
        <v>1281</v>
      </c>
      <c r="AG7" s="104">
        <v>559</v>
      </c>
      <c r="AH7" s="104">
        <v>-373</v>
      </c>
      <c r="AI7" s="81">
        <v>-1771</v>
      </c>
      <c r="AJ7" s="81">
        <v>3807</v>
      </c>
      <c r="AK7" s="105">
        <v>1295</v>
      </c>
      <c r="AL7" s="105">
        <v>1712</v>
      </c>
      <c r="AM7" s="105">
        <v>11672</v>
      </c>
      <c r="AN7" s="105">
        <v>1329</v>
      </c>
      <c r="AO7" s="105">
        <v>-2119</v>
      </c>
      <c r="AP7" s="105">
        <f>N7-AO7</f>
        <v>-1251</v>
      </c>
      <c r="AQ7" s="105">
        <f>-1497</f>
        <v>-1497</v>
      </c>
      <c r="AR7" s="105">
        <f>O7-AQ7</f>
        <v>-5417</v>
      </c>
      <c r="AS7" s="105">
        <f>-8940</f>
        <v>-8940</v>
      </c>
    </row>
    <row r="8" spans="1:45" x14ac:dyDescent="0.2">
      <c r="A8" s="49"/>
      <c r="B8" s="34"/>
      <c r="C8" s="34"/>
      <c r="D8" s="34"/>
      <c r="E8" s="34"/>
      <c r="F8" s="34"/>
      <c r="G8" s="34"/>
      <c r="H8" s="34"/>
      <c r="I8" s="34"/>
      <c r="J8" s="34"/>
      <c r="K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Q8" s="6"/>
      <c r="AS8" s="6"/>
    </row>
    <row r="9" spans="1:45" x14ac:dyDescent="0.2">
      <c r="A9" s="50" t="s">
        <v>226</v>
      </c>
      <c r="B9" s="34"/>
      <c r="C9" s="34"/>
      <c r="D9" s="34"/>
      <c r="E9" s="34"/>
      <c r="F9" s="34"/>
      <c r="G9" s="34"/>
      <c r="H9" s="34"/>
      <c r="I9" s="34"/>
      <c r="J9" s="34"/>
      <c r="K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Q9" s="6"/>
      <c r="AS9" s="6"/>
    </row>
    <row r="10" spans="1:45" x14ac:dyDescent="0.2">
      <c r="A10" s="6" t="s">
        <v>167</v>
      </c>
      <c r="B10" s="34">
        <f t="shared" ref="B10:B44" si="0">SUM(Q10:R10)</f>
        <v>265</v>
      </c>
      <c r="C10" s="34">
        <f t="shared" ref="C10:C44" si="1">SUM(S10:T10)</f>
        <v>417</v>
      </c>
      <c r="D10" s="34">
        <f t="shared" ref="D10:D44" si="2">SUM(U10:V10)</f>
        <v>343</v>
      </c>
      <c r="E10" s="34">
        <f t="shared" ref="E10:E44" si="3">SUM(W10:X10)</f>
        <v>417</v>
      </c>
      <c r="F10" s="34">
        <f t="shared" ref="F10:F44" si="4">SUM(Y10:Z10)</f>
        <v>406</v>
      </c>
      <c r="G10" s="34">
        <f t="shared" ref="G10:G44" si="5">SUM(AA10:AB10)</f>
        <v>434</v>
      </c>
      <c r="H10" s="34">
        <f t="shared" ref="H10:H44" si="6">SUM(AC10:AD10)</f>
        <v>340</v>
      </c>
      <c r="I10" s="34">
        <f t="shared" ref="I10:I44" si="7">SUM(AE10:AF10)</f>
        <v>365</v>
      </c>
      <c r="J10" s="34">
        <f t="shared" ref="J10:J44" si="8">SUM(AG10:AH10)</f>
        <v>542</v>
      </c>
      <c r="K10" s="34">
        <f t="shared" ref="K10:K44" si="9">SUM(AI10:AJ10)</f>
        <v>481</v>
      </c>
      <c r="L10" s="34">
        <f>SUM(AK10:AL10)</f>
        <v>521</v>
      </c>
      <c r="M10" s="34">
        <f t="shared" ref="M10:O74" si="10">SUM(AM10:AN10)</f>
        <v>541</v>
      </c>
      <c r="N10" s="34">
        <v>797</v>
      </c>
      <c r="O10" s="34">
        <f>911</f>
        <v>911</v>
      </c>
      <c r="Q10" s="34">
        <v>127</v>
      </c>
      <c r="R10" s="34">
        <v>138</v>
      </c>
      <c r="S10" s="34">
        <v>209</v>
      </c>
      <c r="T10" s="34">
        <v>208</v>
      </c>
      <c r="U10" s="34">
        <v>168</v>
      </c>
      <c r="V10" s="34">
        <v>175</v>
      </c>
      <c r="W10" s="34">
        <v>204</v>
      </c>
      <c r="X10" s="34">
        <v>213</v>
      </c>
      <c r="Y10" s="34">
        <v>213</v>
      </c>
      <c r="Z10" s="34">
        <v>193</v>
      </c>
      <c r="AA10" s="34">
        <v>240</v>
      </c>
      <c r="AB10" s="34">
        <v>194</v>
      </c>
      <c r="AC10" s="34">
        <v>172</v>
      </c>
      <c r="AD10" s="34">
        <v>168</v>
      </c>
      <c r="AE10" s="34">
        <v>169</v>
      </c>
      <c r="AF10" s="34">
        <v>196</v>
      </c>
      <c r="AG10" s="34">
        <v>270</v>
      </c>
      <c r="AH10" s="34">
        <v>272</v>
      </c>
      <c r="AI10" s="34">
        <v>385</v>
      </c>
      <c r="AJ10" s="34">
        <v>96</v>
      </c>
      <c r="AK10" s="34">
        <v>233</v>
      </c>
      <c r="AL10" s="34">
        <v>288</v>
      </c>
      <c r="AM10" s="34">
        <v>273</v>
      </c>
      <c r="AN10" s="34">
        <v>268</v>
      </c>
      <c r="AO10" s="34">
        <f>403</f>
        <v>403</v>
      </c>
      <c r="AP10" s="34">
        <f t="shared" ref="AP10:AP70" si="11">N10-AO10</f>
        <v>394</v>
      </c>
      <c r="AQ10" s="34">
        <f>450</f>
        <v>450</v>
      </c>
      <c r="AR10" s="34">
        <f t="shared" ref="AR10:AR74" si="12">O10-AQ10</f>
        <v>461</v>
      </c>
      <c r="AS10" s="34">
        <f>459</f>
        <v>459</v>
      </c>
    </row>
    <row r="11" spans="1:45" x14ac:dyDescent="0.2">
      <c r="A11" s="6" t="s">
        <v>227</v>
      </c>
      <c r="B11" s="34">
        <f t="shared" si="0"/>
        <v>-92</v>
      </c>
      <c r="C11" s="34">
        <f t="shared" si="1"/>
        <v>-49</v>
      </c>
      <c r="D11" s="34">
        <f t="shared" si="2"/>
        <v>-15</v>
      </c>
      <c r="E11" s="34">
        <f t="shared" si="3"/>
        <v>-52</v>
      </c>
      <c r="F11" s="34">
        <f t="shared" si="4"/>
        <v>-65</v>
      </c>
      <c r="G11" s="34">
        <f t="shared" si="5"/>
        <v>-52</v>
      </c>
      <c r="H11" s="34">
        <f t="shared" si="6"/>
        <v>-113</v>
      </c>
      <c r="I11" s="34">
        <f t="shared" si="7"/>
        <v>8</v>
      </c>
      <c r="J11" s="34">
        <f t="shared" si="8"/>
        <v>-274</v>
      </c>
      <c r="K11" s="34">
        <f t="shared" si="9"/>
        <v>-51</v>
      </c>
      <c r="L11" s="34">
        <f>SUM(AK11:AL11)</f>
        <v>-162</v>
      </c>
      <c r="M11" s="34">
        <f t="shared" si="10"/>
        <v>90</v>
      </c>
      <c r="N11" s="34">
        <v>-214</v>
      </c>
      <c r="O11" s="34">
        <f>-282</f>
        <v>-282</v>
      </c>
      <c r="Q11" s="34">
        <v>-59</v>
      </c>
      <c r="R11" s="34">
        <v>-33</v>
      </c>
      <c r="S11" s="34">
        <v>-27</v>
      </c>
      <c r="T11" s="34">
        <v>-22</v>
      </c>
      <c r="U11" s="34">
        <v>-27</v>
      </c>
      <c r="V11" s="34">
        <v>12</v>
      </c>
      <c r="W11" s="34">
        <v>-46</v>
      </c>
      <c r="X11" s="34">
        <v>-6</v>
      </c>
      <c r="Y11" s="34">
        <v>20</v>
      </c>
      <c r="Z11" s="34">
        <v>-85</v>
      </c>
      <c r="AA11" s="34">
        <v>-7</v>
      </c>
      <c r="AB11" s="34">
        <v>-45</v>
      </c>
      <c r="AC11" s="34">
        <v>-51</v>
      </c>
      <c r="AD11" s="34">
        <v>-62</v>
      </c>
      <c r="AE11" s="34">
        <v>7</v>
      </c>
      <c r="AF11" s="34">
        <v>1</v>
      </c>
      <c r="AG11" s="34">
        <v>-14</v>
      </c>
      <c r="AH11" s="34">
        <v>-260</v>
      </c>
      <c r="AI11" s="34">
        <v>-25</v>
      </c>
      <c r="AJ11" s="34">
        <v>-26</v>
      </c>
      <c r="AK11" s="34">
        <v>-108</v>
      </c>
      <c r="AL11" s="34">
        <v>-54</v>
      </c>
      <c r="AM11" s="34">
        <v>60</v>
      </c>
      <c r="AN11" s="34">
        <v>30</v>
      </c>
      <c r="AO11" s="34">
        <v>-197</v>
      </c>
      <c r="AP11" s="34">
        <f t="shared" si="11"/>
        <v>-17</v>
      </c>
      <c r="AQ11" s="34">
        <f>-41</f>
        <v>-41</v>
      </c>
      <c r="AR11" s="34">
        <f t="shared" si="12"/>
        <v>-241</v>
      </c>
      <c r="AS11" s="34">
        <f>-54</f>
        <v>-54</v>
      </c>
    </row>
    <row r="12" spans="1:45" x14ac:dyDescent="0.2">
      <c r="A12" s="6" t="s">
        <v>228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-267</v>
      </c>
      <c r="H12" s="34">
        <f t="shared" si="6"/>
        <v>-27</v>
      </c>
      <c r="I12" s="34">
        <f t="shared" si="7"/>
        <v>0</v>
      </c>
      <c r="J12" s="34">
        <f t="shared" si="8"/>
        <v>-13</v>
      </c>
      <c r="K12" s="34">
        <f t="shared" si="9"/>
        <v>-103</v>
      </c>
      <c r="L12" s="34">
        <f t="shared" ref="L12:L43" si="13">SUM(AK12:AL12)</f>
        <v>-279</v>
      </c>
      <c r="M12" s="34">
        <f t="shared" si="10"/>
        <v>3</v>
      </c>
      <c r="N12" s="34">
        <v>0</v>
      </c>
      <c r="O12" s="34">
        <f>-14</f>
        <v>-14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-267</v>
      </c>
      <c r="AC12" s="34">
        <v>-27</v>
      </c>
      <c r="AD12" s="34">
        <v>0</v>
      </c>
      <c r="AE12" s="34">
        <v>0</v>
      </c>
      <c r="AF12" s="34">
        <v>0</v>
      </c>
      <c r="AG12" s="34">
        <v>0</v>
      </c>
      <c r="AH12" s="34">
        <v>-13</v>
      </c>
      <c r="AI12" s="34">
        <v>-23</v>
      </c>
      <c r="AJ12" s="34">
        <v>-80</v>
      </c>
      <c r="AK12" s="34">
        <v>-178</v>
      </c>
      <c r="AL12" s="34">
        <v>-101</v>
      </c>
      <c r="AM12" s="34">
        <v>0</v>
      </c>
      <c r="AN12" s="34">
        <v>3</v>
      </c>
      <c r="AO12" s="34">
        <v>23</v>
      </c>
      <c r="AP12" s="34">
        <f t="shared" si="11"/>
        <v>-23</v>
      </c>
      <c r="AQ12" s="34">
        <f>-39</f>
        <v>-39</v>
      </c>
      <c r="AR12" s="34">
        <f t="shared" si="12"/>
        <v>25</v>
      </c>
      <c r="AS12" s="34">
        <f>-9</f>
        <v>-9</v>
      </c>
    </row>
    <row r="13" spans="1:45" x14ac:dyDescent="0.2">
      <c r="A13" s="6" t="s">
        <v>229</v>
      </c>
      <c r="B13" s="34">
        <f t="shared" si="0"/>
        <v>0</v>
      </c>
      <c r="C13" s="34">
        <f t="shared" si="1"/>
        <v>0</v>
      </c>
      <c r="D13" s="34">
        <f t="shared" si="2"/>
        <v>0</v>
      </c>
      <c r="E13" s="34">
        <f t="shared" si="3"/>
        <v>0</v>
      </c>
      <c r="F13" s="34">
        <f t="shared" si="4"/>
        <v>0</v>
      </c>
      <c r="G13" s="34">
        <f t="shared" si="5"/>
        <v>0</v>
      </c>
      <c r="H13" s="34">
        <f t="shared" si="6"/>
        <v>0</v>
      </c>
      <c r="I13" s="34">
        <f t="shared" si="7"/>
        <v>0</v>
      </c>
      <c r="J13" s="34">
        <f t="shared" si="8"/>
        <v>0</v>
      </c>
      <c r="K13" s="34">
        <f t="shared" si="9"/>
        <v>200</v>
      </c>
      <c r="L13" s="34">
        <f t="shared" si="13"/>
        <v>205</v>
      </c>
      <c r="M13" s="34">
        <f t="shared" si="10"/>
        <v>-51</v>
      </c>
      <c r="N13" s="34">
        <v>84</v>
      </c>
      <c r="O13" s="34">
        <f>-308</f>
        <v>-308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200</v>
      </c>
      <c r="AK13" s="34">
        <v>6</v>
      </c>
      <c r="AL13" s="34">
        <v>199</v>
      </c>
      <c r="AM13" s="34">
        <v>-55</v>
      </c>
      <c r="AN13" s="34">
        <v>4</v>
      </c>
      <c r="AO13" s="34">
        <f>0</f>
        <v>0</v>
      </c>
      <c r="AP13" s="34">
        <f t="shared" si="11"/>
        <v>84</v>
      </c>
      <c r="AQ13" s="34">
        <f>-6</f>
        <v>-6</v>
      </c>
      <c r="AR13" s="34">
        <f t="shared" si="12"/>
        <v>-302</v>
      </c>
      <c r="AS13" s="34">
        <f>-31</f>
        <v>-31</v>
      </c>
    </row>
    <row r="14" spans="1:45" x14ac:dyDescent="0.2">
      <c r="A14" s="6" t="s">
        <v>230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280</v>
      </c>
      <c r="F14" s="34">
        <f t="shared" si="4"/>
        <v>215</v>
      </c>
      <c r="G14" s="34">
        <f t="shared" si="5"/>
        <v>-41</v>
      </c>
      <c r="H14" s="34">
        <f t="shared" si="6"/>
        <v>0</v>
      </c>
      <c r="I14" s="34">
        <f t="shared" si="7"/>
        <v>0</v>
      </c>
      <c r="J14" s="34">
        <f t="shared" si="8"/>
        <v>0</v>
      </c>
      <c r="K14" s="34">
        <f t="shared" si="9"/>
        <v>0</v>
      </c>
      <c r="L14" s="34">
        <f t="shared" si="13"/>
        <v>0</v>
      </c>
      <c r="M14" s="34">
        <f t="shared" si="10"/>
        <v>0</v>
      </c>
      <c r="N14" s="34">
        <f t="shared" si="10"/>
        <v>0</v>
      </c>
      <c r="O14" s="34">
        <f>-169</f>
        <v>-169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60</v>
      </c>
      <c r="X14" s="34">
        <v>220</v>
      </c>
      <c r="Y14" s="34">
        <v>166</v>
      </c>
      <c r="Z14" s="34">
        <v>49</v>
      </c>
      <c r="AA14" s="34">
        <v>27</v>
      </c>
      <c r="AB14" s="34">
        <v>-68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f t="shared" si="11"/>
        <v>0</v>
      </c>
      <c r="AQ14" s="34">
        <f>0</f>
        <v>0</v>
      </c>
      <c r="AR14" s="34">
        <f t="shared" si="12"/>
        <v>-169</v>
      </c>
      <c r="AS14" s="34">
        <f>0</f>
        <v>0</v>
      </c>
    </row>
    <row r="15" spans="1:45" x14ac:dyDescent="0.2">
      <c r="A15" s="6" t="s">
        <v>432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>
        <f>168</f>
        <v>168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>
        <v>0</v>
      </c>
      <c r="AR15" s="34">
        <f t="shared" si="12"/>
        <v>168</v>
      </c>
      <c r="AS15" s="34">
        <f>28</f>
        <v>28</v>
      </c>
    </row>
    <row r="16" spans="1:45" x14ac:dyDescent="0.2">
      <c r="A16" s="6" t="s">
        <v>231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466</v>
      </c>
      <c r="F16" s="34">
        <f t="shared" si="4"/>
        <v>514</v>
      </c>
      <c r="G16" s="34">
        <f t="shared" si="5"/>
        <v>430</v>
      </c>
      <c r="H16" s="34">
        <f t="shared" si="6"/>
        <v>819</v>
      </c>
      <c r="I16" s="34">
        <f t="shared" si="7"/>
        <v>450</v>
      </c>
      <c r="J16" s="34">
        <f t="shared" si="8"/>
        <v>1287</v>
      </c>
      <c r="K16" s="34">
        <f t="shared" si="9"/>
        <v>676</v>
      </c>
      <c r="L16" s="34">
        <f t="shared" si="13"/>
        <v>2054</v>
      </c>
      <c r="M16" s="34">
        <f t="shared" si="10"/>
        <v>994</v>
      </c>
      <c r="N16" s="34">
        <v>-34</v>
      </c>
      <c r="O16" s="34">
        <f>863</f>
        <v>863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85</v>
      </c>
      <c r="X16" s="34">
        <v>381</v>
      </c>
      <c r="Y16" s="34">
        <v>30</v>
      </c>
      <c r="Z16" s="34">
        <v>484</v>
      </c>
      <c r="AA16" s="34">
        <v>290</v>
      </c>
      <c r="AB16" s="34">
        <v>140</v>
      </c>
      <c r="AC16" s="34">
        <v>170</v>
      </c>
      <c r="AD16" s="34">
        <v>649</v>
      </c>
      <c r="AE16" s="34">
        <v>1524</v>
      </c>
      <c r="AF16" s="34">
        <v>-1074</v>
      </c>
      <c r="AG16" s="34">
        <v>458</v>
      </c>
      <c r="AH16" s="34">
        <v>829</v>
      </c>
      <c r="AI16" s="34">
        <v>319</v>
      </c>
      <c r="AJ16" s="34">
        <v>357</v>
      </c>
      <c r="AK16" s="34">
        <v>1803</v>
      </c>
      <c r="AL16" s="34">
        <v>251</v>
      </c>
      <c r="AM16" s="34">
        <v>-842</v>
      </c>
      <c r="AN16" s="34">
        <v>1836</v>
      </c>
      <c r="AO16" s="34">
        <v>124</v>
      </c>
      <c r="AP16" s="34">
        <f t="shared" si="11"/>
        <v>-158</v>
      </c>
      <c r="AQ16" s="34">
        <f>1374</f>
        <v>1374</v>
      </c>
      <c r="AR16" s="34">
        <f t="shared" si="12"/>
        <v>-511</v>
      </c>
      <c r="AS16" s="34">
        <f>-2409</f>
        <v>-2409</v>
      </c>
    </row>
    <row r="17" spans="1:45" x14ac:dyDescent="0.2">
      <c r="A17" s="6" t="s">
        <v>232</v>
      </c>
      <c r="B17" s="34">
        <f t="shared" si="0"/>
        <v>0</v>
      </c>
      <c r="C17" s="34">
        <f t="shared" si="1"/>
        <v>0</v>
      </c>
      <c r="D17" s="34">
        <f t="shared" si="2"/>
        <v>0</v>
      </c>
      <c r="E17" s="34">
        <f t="shared" si="3"/>
        <v>0</v>
      </c>
      <c r="F17" s="34">
        <f t="shared" si="4"/>
        <v>0</v>
      </c>
      <c r="G17" s="34">
        <f t="shared" si="5"/>
        <v>0</v>
      </c>
      <c r="H17" s="34">
        <f t="shared" si="6"/>
        <v>673</v>
      </c>
      <c r="I17" s="34">
        <f t="shared" si="7"/>
        <v>900</v>
      </c>
      <c r="J17" s="34">
        <f t="shared" si="8"/>
        <v>578</v>
      </c>
      <c r="K17" s="34">
        <f t="shared" si="9"/>
        <v>418</v>
      </c>
      <c r="L17" s="34">
        <f t="shared" si="13"/>
        <v>327</v>
      </c>
      <c r="M17" s="34">
        <f t="shared" si="10"/>
        <v>898</v>
      </c>
      <c r="N17" s="34">
        <v>829</v>
      </c>
      <c r="O17" s="34">
        <f>547</f>
        <v>547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244</v>
      </c>
      <c r="AD17" s="34">
        <v>429</v>
      </c>
      <c r="AE17" s="34">
        <v>212</v>
      </c>
      <c r="AF17" s="34">
        <v>688</v>
      </c>
      <c r="AG17" s="34">
        <v>180</v>
      </c>
      <c r="AH17" s="34">
        <v>398</v>
      </c>
      <c r="AI17" s="34">
        <v>126</v>
      </c>
      <c r="AJ17" s="34">
        <v>292</v>
      </c>
      <c r="AK17" s="34">
        <v>135</v>
      </c>
      <c r="AL17" s="34">
        <v>192</v>
      </c>
      <c r="AM17" s="34">
        <v>75</v>
      </c>
      <c r="AN17" s="34">
        <v>823</v>
      </c>
      <c r="AO17" s="34">
        <v>633</v>
      </c>
      <c r="AP17" s="34">
        <f t="shared" si="11"/>
        <v>196</v>
      </c>
      <c r="AQ17" s="34">
        <f>244</f>
        <v>244</v>
      </c>
      <c r="AR17" s="34">
        <f t="shared" si="12"/>
        <v>303</v>
      </c>
      <c r="AS17" s="34">
        <f>153</f>
        <v>153</v>
      </c>
    </row>
    <row r="18" spans="1:45" x14ac:dyDescent="0.2">
      <c r="A18" s="6" t="s">
        <v>294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f t="shared" si="13"/>
        <v>16</v>
      </c>
      <c r="M18" s="34">
        <f t="shared" si="10"/>
        <v>37</v>
      </c>
      <c r="N18" s="34">
        <v>-66</v>
      </c>
      <c r="O18" s="34">
        <f>4991</f>
        <v>4991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>
        <v>16</v>
      </c>
      <c r="AM18" s="34">
        <v>38</v>
      </c>
      <c r="AN18" s="34">
        <v>-1</v>
      </c>
      <c r="AO18" s="34">
        <v>-17</v>
      </c>
      <c r="AP18" s="34">
        <f t="shared" si="11"/>
        <v>-49</v>
      </c>
      <c r="AQ18" s="34">
        <f>1470</f>
        <v>1470</v>
      </c>
      <c r="AR18" s="34">
        <f t="shared" si="12"/>
        <v>3521</v>
      </c>
      <c r="AS18" s="34">
        <f>504</f>
        <v>504</v>
      </c>
    </row>
    <row r="19" spans="1:45" x14ac:dyDescent="0.2">
      <c r="A19" s="6" t="s">
        <v>233</v>
      </c>
      <c r="B19" s="34">
        <f t="shared" si="0"/>
        <v>0</v>
      </c>
      <c r="C19" s="34">
        <f t="shared" si="1"/>
        <v>0</v>
      </c>
      <c r="D19" s="34">
        <f t="shared" si="2"/>
        <v>0</v>
      </c>
      <c r="E19" s="34">
        <f t="shared" si="3"/>
        <v>0</v>
      </c>
      <c r="F19" s="34">
        <f t="shared" si="4"/>
        <v>0</v>
      </c>
      <c r="G19" s="34">
        <f t="shared" si="5"/>
        <v>0</v>
      </c>
      <c r="H19" s="34">
        <f t="shared" si="6"/>
        <v>221</v>
      </c>
      <c r="I19" s="34">
        <f t="shared" si="7"/>
        <v>846</v>
      </c>
      <c r="J19" s="34">
        <f t="shared" si="8"/>
        <v>0</v>
      </c>
      <c r="K19" s="34">
        <f t="shared" si="9"/>
        <v>0</v>
      </c>
      <c r="L19" s="34">
        <f t="shared" si="13"/>
        <v>0</v>
      </c>
      <c r="M19" s="34">
        <f t="shared" si="10"/>
        <v>0</v>
      </c>
      <c r="N19" s="34">
        <f t="shared" si="10"/>
        <v>0</v>
      </c>
      <c r="O19" s="34">
        <f>0</f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221</v>
      </c>
      <c r="AE19" s="34">
        <v>846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f t="shared" si="11"/>
        <v>0</v>
      </c>
      <c r="AQ19" s="34">
        <f>0</f>
        <v>0</v>
      </c>
      <c r="AR19" s="34">
        <f t="shared" si="12"/>
        <v>0</v>
      </c>
      <c r="AS19" s="34">
        <f>0</f>
        <v>0</v>
      </c>
    </row>
    <row r="20" spans="1:45" x14ac:dyDescent="0.2">
      <c r="A20" s="6" t="s">
        <v>292</v>
      </c>
      <c r="B20" s="34">
        <f t="shared" si="0"/>
        <v>1</v>
      </c>
      <c r="C20" s="34">
        <f t="shared" si="1"/>
        <v>28</v>
      </c>
      <c r="D20" s="34">
        <f t="shared" si="2"/>
        <v>0</v>
      </c>
      <c r="E20" s="34">
        <f t="shared" si="3"/>
        <v>0</v>
      </c>
      <c r="F20" s="34">
        <f t="shared" si="4"/>
        <v>0</v>
      </c>
      <c r="G20" s="34">
        <f t="shared" si="5"/>
        <v>0</v>
      </c>
      <c r="H20" s="34">
        <f t="shared" si="6"/>
        <v>0</v>
      </c>
      <c r="I20" s="34">
        <f t="shared" si="7"/>
        <v>0</v>
      </c>
      <c r="J20" s="34">
        <f t="shared" si="8"/>
        <v>-87</v>
      </c>
      <c r="K20" s="34">
        <f t="shared" si="9"/>
        <v>0</v>
      </c>
      <c r="L20" s="34">
        <f t="shared" si="13"/>
        <v>7</v>
      </c>
      <c r="M20" s="34">
        <f t="shared" si="10"/>
        <v>2</v>
      </c>
      <c r="N20" s="34">
        <v>-14</v>
      </c>
      <c r="O20" s="34">
        <f>65</f>
        <v>65</v>
      </c>
      <c r="Q20" s="34">
        <v>1</v>
      </c>
      <c r="R20" s="34">
        <v>0</v>
      </c>
      <c r="S20" s="34">
        <v>0</v>
      </c>
      <c r="T20" s="34">
        <v>28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-87</v>
      </c>
      <c r="AI20" s="34">
        <v>0</v>
      </c>
      <c r="AJ20" s="34">
        <v>0</v>
      </c>
      <c r="AK20" s="34">
        <v>20</v>
      </c>
      <c r="AL20" s="34">
        <v>-13</v>
      </c>
      <c r="AM20" s="34">
        <v>0</v>
      </c>
      <c r="AN20" s="34">
        <v>2</v>
      </c>
      <c r="AO20" s="34">
        <v>0</v>
      </c>
      <c r="AP20" s="34">
        <f t="shared" si="11"/>
        <v>-14</v>
      </c>
      <c r="AQ20" s="34">
        <f>0</f>
        <v>0</v>
      </c>
      <c r="AR20" s="34">
        <f t="shared" si="12"/>
        <v>65</v>
      </c>
      <c r="AS20" s="34">
        <f>0</f>
        <v>0</v>
      </c>
    </row>
    <row r="21" spans="1:45" x14ac:dyDescent="0.2">
      <c r="A21" s="6" t="s">
        <v>234</v>
      </c>
      <c r="B21" s="34">
        <f t="shared" si="0"/>
        <v>-24</v>
      </c>
      <c r="C21" s="34">
        <f t="shared" si="1"/>
        <v>0</v>
      </c>
      <c r="D21" s="34">
        <f t="shared" si="2"/>
        <v>0</v>
      </c>
      <c r="E21" s="34">
        <f t="shared" si="3"/>
        <v>0</v>
      </c>
      <c r="F21" s="34">
        <f t="shared" si="4"/>
        <v>0</v>
      </c>
      <c r="G21" s="34">
        <f t="shared" si="5"/>
        <v>0</v>
      </c>
      <c r="H21" s="34">
        <f t="shared" si="6"/>
        <v>0</v>
      </c>
      <c r="I21" s="34">
        <f t="shared" si="7"/>
        <v>0</v>
      </c>
      <c r="J21" s="34">
        <f t="shared" si="8"/>
        <v>0</v>
      </c>
      <c r="K21" s="34">
        <f t="shared" si="9"/>
        <v>0</v>
      </c>
      <c r="L21" s="34">
        <f t="shared" si="13"/>
        <v>0</v>
      </c>
      <c r="M21" s="34">
        <f t="shared" si="10"/>
        <v>0</v>
      </c>
      <c r="N21" s="34">
        <f t="shared" si="10"/>
        <v>0</v>
      </c>
      <c r="O21" s="34">
        <f>0</f>
        <v>0</v>
      </c>
      <c r="Q21" s="34">
        <v>-24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f t="shared" si="11"/>
        <v>0</v>
      </c>
      <c r="AQ21" s="34">
        <f>0</f>
        <v>0</v>
      </c>
      <c r="AR21" s="34">
        <f t="shared" si="12"/>
        <v>0</v>
      </c>
      <c r="AS21" s="34">
        <f>0</f>
        <v>0</v>
      </c>
    </row>
    <row r="22" spans="1:45" x14ac:dyDescent="0.2">
      <c r="A22" s="6" t="s">
        <v>397</v>
      </c>
      <c r="B22" s="34">
        <f t="shared" ref="B22" si="14">SUM(Q22:R22)</f>
        <v>0</v>
      </c>
      <c r="C22" s="34">
        <f t="shared" ref="C22" si="15">SUM(S22:T22)</f>
        <v>0</v>
      </c>
      <c r="D22" s="34">
        <f t="shared" ref="D22" si="16">SUM(U22:V22)</f>
        <v>0</v>
      </c>
      <c r="E22" s="34">
        <f t="shared" ref="E22" si="17">SUM(W22:X22)</f>
        <v>0</v>
      </c>
      <c r="F22" s="34">
        <f t="shared" ref="F22" si="18">SUM(Y22:Z22)</f>
        <v>0</v>
      </c>
      <c r="G22" s="34">
        <f t="shared" ref="G22" si="19">SUM(AA22:AB22)</f>
        <v>0</v>
      </c>
      <c r="H22" s="34">
        <f t="shared" ref="H22" si="20">SUM(AC22:AD22)</f>
        <v>0</v>
      </c>
      <c r="I22" s="34">
        <f t="shared" ref="I22" si="21">SUM(AE22:AF22)</f>
        <v>0</v>
      </c>
      <c r="J22" s="34">
        <f t="shared" ref="J22" si="22">SUM(AG22:AH22)</f>
        <v>0</v>
      </c>
      <c r="K22" s="34">
        <f t="shared" ref="K22" si="23">SUM(AI22:AJ22)</f>
        <v>0</v>
      </c>
      <c r="L22" s="34">
        <f t="shared" ref="L22" si="24">SUM(AK22:AL22)</f>
        <v>0</v>
      </c>
      <c r="M22" s="34">
        <f t="shared" ref="M22" si="25">SUM(AM22:AN22)</f>
        <v>0</v>
      </c>
      <c r="N22" s="34">
        <v>2535</v>
      </c>
      <c r="O22" s="34">
        <f>484</f>
        <v>484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612</v>
      </c>
      <c r="AP22" s="34">
        <f t="shared" si="11"/>
        <v>1923</v>
      </c>
      <c r="AQ22" s="34">
        <f>-3</f>
        <v>-3</v>
      </c>
      <c r="AR22" s="34">
        <f t="shared" si="12"/>
        <v>487</v>
      </c>
      <c r="AS22" s="34">
        <f>279</f>
        <v>279</v>
      </c>
    </row>
    <row r="23" spans="1:45" x14ac:dyDescent="0.2">
      <c r="A23" s="6" t="s">
        <v>433</v>
      </c>
      <c r="B23" s="34">
        <f>0</f>
        <v>0</v>
      </c>
      <c r="C23" s="34">
        <f>0</f>
        <v>0</v>
      </c>
      <c r="D23" s="34">
        <f>0</f>
        <v>0</v>
      </c>
      <c r="E23" s="34">
        <f>0</f>
        <v>0</v>
      </c>
      <c r="F23" s="34">
        <f>0</f>
        <v>0</v>
      </c>
      <c r="G23" s="34">
        <f>0</f>
        <v>0</v>
      </c>
      <c r="H23" s="34">
        <f>0</f>
        <v>0</v>
      </c>
      <c r="I23" s="34">
        <f>0</f>
        <v>0</v>
      </c>
      <c r="J23" s="34">
        <f>0</f>
        <v>0</v>
      </c>
      <c r="K23" s="34">
        <f>0</f>
        <v>0</v>
      </c>
      <c r="L23" s="34">
        <f>0</f>
        <v>0</v>
      </c>
      <c r="M23" s="34">
        <f>0</f>
        <v>0</v>
      </c>
      <c r="N23" s="34">
        <f>0</f>
        <v>0</v>
      </c>
      <c r="O23" s="34">
        <f>-420</f>
        <v>-420</v>
      </c>
      <c r="Q23" s="34">
        <f>0</f>
        <v>0</v>
      </c>
      <c r="R23" s="34">
        <f>0</f>
        <v>0</v>
      </c>
      <c r="S23" s="34">
        <f>0</f>
        <v>0</v>
      </c>
      <c r="T23" s="34">
        <f>0</f>
        <v>0</v>
      </c>
      <c r="U23" s="34">
        <f>0</f>
        <v>0</v>
      </c>
      <c r="V23" s="34">
        <f>0</f>
        <v>0</v>
      </c>
      <c r="W23" s="34">
        <f>0</f>
        <v>0</v>
      </c>
      <c r="X23" s="34">
        <f>0</f>
        <v>0</v>
      </c>
      <c r="Y23" s="34">
        <f>0</f>
        <v>0</v>
      </c>
      <c r="Z23" s="34">
        <f>0</f>
        <v>0</v>
      </c>
      <c r="AA23" s="34">
        <f>0</f>
        <v>0</v>
      </c>
      <c r="AB23" s="34">
        <f>0</f>
        <v>0</v>
      </c>
      <c r="AC23" s="34">
        <f>0</f>
        <v>0</v>
      </c>
      <c r="AD23" s="34">
        <f>0</f>
        <v>0</v>
      </c>
      <c r="AE23" s="34">
        <f>0</f>
        <v>0</v>
      </c>
      <c r="AF23" s="34">
        <f>0</f>
        <v>0</v>
      </c>
      <c r="AG23" s="34">
        <f>0</f>
        <v>0</v>
      </c>
      <c r="AH23" s="34">
        <f>0</f>
        <v>0</v>
      </c>
      <c r="AI23" s="34">
        <f>0</f>
        <v>0</v>
      </c>
      <c r="AJ23" s="34">
        <f>0</f>
        <v>0</v>
      </c>
      <c r="AK23" s="34">
        <f>0</f>
        <v>0</v>
      </c>
      <c r="AL23" s="34">
        <f>0</f>
        <v>0</v>
      </c>
      <c r="AM23" s="34">
        <f>0</f>
        <v>0</v>
      </c>
      <c r="AN23" s="34">
        <f>0</f>
        <v>0</v>
      </c>
      <c r="AO23" s="34">
        <f>0</f>
        <v>0</v>
      </c>
      <c r="AP23" s="34">
        <f>0</f>
        <v>0</v>
      </c>
      <c r="AQ23" s="34">
        <f>0</f>
        <v>0</v>
      </c>
      <c r="AR23" s="34">
        <f t="shared" si="12"/>
        <v>-420</v>
      </c>
      <c r="AS23" s="34">
        <f>-43</f>
        <v>-43</v>
      </c>
    </row>
    <row r="24" spans="1:45" x14ac:dyDescent="0.2">
      <c r="A24" s="6" t="s">
        <v>484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>
        <f>0</f>
        <v>0</v>
      </c>
      <c r="AR24" s="34"/>
      <c r="AS24" s="34">
        <f>-24</f>
        <v>-24</v>
      </c>
    </row>
    <row r="25" spans="1:45" x14ac:dyDescent="0.2">
      <c r="A25" s="6" t="s">
        <v>312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>
        <f t="shared" si="10"/>
        <v>-135</v>
      </c>
      <c r="N25" s="34">
        <v>0</v>
      </c>
      <c r="O25" s="34">
        <f>0</f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-135</v>
      </c>
      <c r="AO25" s="34">
        <v>0</v>
      </c>
      <c r="AP25" s="34">
        <f t="shared" si="11"/>
        <v>0</v>
      </c>
      <c r="AQ25" s="34">
        <f>0</f>
        <v>0</v>
      </c>
      <c r="AR25" s="34">
        <f t="shared" si="12"/>
        <v>0</v>
      </c>
      <c r="AS25" s="34">
        <f>0</f>
        <v>0</v>
      </c>
    </row>
    <row r="26" spans="1:45" x14ac:dyDescent="0.2">
      <c r="A26" s="6" t="s">
        <v>151</v>
      </c>
      <c r="B26" s="34">
        <f t="shared" si="0"/>
        <v>0</v>
      </c>
      <c r="C26" s="34">
        <f t="shared" si="1"/>
        <v>0</v>
      </c>
      <c r="D26" s="34">
        <f t="shared" si="2"/>
        <v>0</v>
      </c>
      <c r="E26" s="34">
        <f t="shared" si="3"/>
        <v>0</v>
      </c>
      <c r="F26" s="34">
        <f t="shared" si="4"/>
        <v>0</v>
      </c>
      <c r="G26" s="34">
        <f t="shared" si="5"/>
        <v>0</v>
      </c>
      <c r="H26" s="34">
        <f t="shared" si="6"/>
        <v>0</v>
      </c>
      <c r="I26" s="34">
        <f t="shared" si="7"/>
        <v>0</v>
      </c>
      <c r="J26" s="34">
        <f t="shared" si="8"/>
        <v>-729</v>
      </c>
      <c r="K26" s="34">
        <f t="shared" si="9"/>
        <v>0</v>
      </c>
      <c r="L26" s="34">
        <f t="shared" si="13"/>
        <v>0</v>
      </c>
      <c r="M26" s="34">
        <f t="shared" si="10"/>
        <v>-12038</v>
      </c>
      <c r="N26" s="34">
        <f t="shared" si="10"/>
        <v>0</v>
      </c>
      <c r="O26" s="34">
        <f>0</f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-729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-12038</v>
      </c>
      <c r="AN26" s="34">
        <v>0</v>
      </c>
      <c r="AO26" s="34">
        <v>0</v>
      </c>
      <c r="AP26" s="34">
        <f t="shared" si="11"/>
        <v>0</v>
      </c>
      <c r="AQ26" s="34">
        <f>0</f>
        <v>0</v>
      </c>
      <c r="AR26" s="34">
        <f t="shared" si="12"/>
        <v>0</v>
      </c>
      <c r="AS26" s="34">
        <f>0</f>
        <v>0</v>
      </c>
    </row>
    <row r="27" spans="1:45" x14ac:dyDescent="0.2">
      <c r="A27" s="6" t="s">
        <v>235</v>
      </c>
      <c r="B27" s="34">
        <f t="shared" si="0"/>
        <v>0</v>
      </c>
      <c r="C27" s="34">
        <f t="shared" si="1"/>
        <v>0</v>
      </c>
      <c r="D27" s="34">
        <f t="shared" si="2"/>
        <v>0</v>
      </c>
      <c r="E27" s="34">
        <f t="shared" si="3"/>
        <v>0</v>
      </c>
      <c r="F27" s="34">
        <f t="shared" si="4"/>
        <v>0</v>
      </c>
      <c r="G27" s="34">
        <f t="shared" si="5"/>
        <v>0</v>
      </c>
      <c r="H27" s="34">
        <f t="shared" si="6"/>
        <v>0</v>
      </c>
      <c r="I27" s="34">
        <f t="shared" si="7"/>
        <v>0</v>
      </c>
      <c r="J27" s="34">
        <f t="shared" si="8"/>
        <v>-1703</v>
      </c>
      <c r="K27" s="34">
        <f t="shared" si="9"/>
        <v>-1210</v>
      </c>
      <c r="L27" s="34">
        <f t="shared" si="13"/>
        <v>-3003</v>
      </c>
      <c r="M27" s="34">
        <f t="shared" si="10"/>
        <v>-324</v>
      </c>
      <c r="N27" s="34">
        <v>-157</v>
      </c>
      <c r="O27" s="34">
        <f>-1</f>
        <v>-1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-1703</v>
      </c>
      <c r="AI27" s="34">
        <v>0</v>
      </c>
      <c r="AJ27" s="34">
        <v>-1210</v>
      </c>
      <c r="AK27" s="34">
        <v>-2759</v>
      </c>
      <c r="AL27" s="34">
        <v>-244</v>
      </c>
      <c r="AM27" s="34">
        <v>-121</v>
      </c>
      <c r="AN27" s="34">
        <v>-203</v>
      </c>
      <c r="AO27" s="34">
        <v>-87</v>
      </c>
      <c r="AP27" s="34">
        <f t="shared" si="11"/>
        <v>-70</v>
      </c>
      <c r="AQ27" s="34">
        <f>0</f>
        <v>0</v>
      </c>
      <c r="AR27" s="34">
        <f t="shared" si="12"/>
        <v>-1</v>
      </c>
      <c r="AS27" s="34">
        <f>0</f>
        <v>0</v>
      </c>
    </row>
    <row r="28" spans="1:45" x14ac:dyDescent="0.2">
      <c r="A28" s="6" t="s">
        <v>236</v>
      </c>
      <c r="B28" s="34">
        <f t="shared" si="0"/>
        <v>0</v>
      </c>
      <c r="C28" s="34">
        <f t="shared" si="1"/>
        <v>0</v>
      </c>
      <c r="D28" s="34">
        <f t="shared" si="2"/>
        <v>0</v>
      </c>
      <c r="E28" s="34">
        <f t="shared" si="3"/>
        <v>0</v>
      </c>
      <c r="F28" s="34">
        <f t="shared" si="4"/>
        <v>0</v>
      </c>
      <c r="G28" s="34">
        <f t="shared" si="5"/>
        <v>0</v>
      </c>
      <c r="H28" s="34">
        <f t="shared" si="6"/>
        <v>0</v>
      </c>
      <c r="I28" s="34">
        <f t="shared" si="7"/>
        <v>0</v>
      </c>
      <c r="J28" s="34">
        <f t="shared" si="8"/>
        <v>0</v>
      </c>
      <c r="K28" s="34">
        <f t="shared" si="9"/>
        <v>-448</v>
      </c>
      <c r="L28" s="34">
        <f t="shared" si="13"/>
        <v>-1197</v>
      </c>
      <c r="M28" s="34">
        <f t="shared" si="10"/>
        <v>-2715</v>
      </c>
      <c r="N28" s="34">
        <v>-4697</v>
      </c>
      <c r="O28" s="34">
        <f>-12499</f>
        <v>-12499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-448</v>
      </c>
      <c r="AK28" s="34">
        <v>-423</v>
      </c>
      <c r="AL28" s="34">
        <v>-774</v>
      </c>
      <c r="AM28" s="34">
        <v>-802</v>
      </c>
      <c r="AN28" s="34">
        <v>-1913</v>
      </c>
      <c r="AO28" s="34">
        <v>-1119</v>
      </c>
      <c r="AP28" s="34">
        <f t="shared" si="11"/>
        <v>-3578</v>
      </c>
      <c r="AQ28" s="34">
        <f>-3207</f>
        <v>-3207</v>
      </c>
      <c r="AR28" s="34">
        <f t="shared" si="12"/>
        <v>-9292</v>
      </c>
      <c r="AS28" s="34">
        <f>-7818</f>
        <v>-7818</v>
      </c>
    </row>
    <row r="29" spans="1:45" x14ac:dyDescent="0.2">
      <c r="A29" s="6" t="s">
        <v>237</v>
      </c>
      <c r="B29" s="34">
        <f t="shared" si="0"/>
        <v>-1425</v>
      </c>
      <c r="C29" s="34">
        <f t="shared" si="1"/>
        <v>-544</v>
      </c>
      <c r="D29" s="34">
        <f t="shared" si="2"/>
        <v>-337</v>
      </c>
      <c r="E29" s="34">
        <f t="shared" si="3"/>
        <v>-1164</v>
      </c>
      <c r="F29" s="34">
        <f t="shared" si="4"/>
        <v>-1182</v>
      </c>
      <c r="G29" s="34">
        <f t="shared" si="5"/>
        <v>-1538</v>
      </c>
      <c r="H29" s="34">
        <f t="shared" si="6"/>
        <v>-705</v>
      </c>
      <c r="I29" s="34">
        <f t="shared" si="7"/>
        <v>2781</v>
      </c>
      <c r="J29" s="34">
        <f t="shared" si="8"/>
        <v>4713</v>
      </c>
      <c r="K29" s="34">
        <f t="shared" si="9"/>
        <v>5496</v>
      </c>
      <c r="L29" s="34">
        <f t="shared" si="13"/>
        <v>7381</v>
      </c>
      <c r="M29" s="34">
        <f t="shared" si="10"/>
        <v>9131</v>
      </c>
      <c r="N29" s="34">
        <v>12961</v>
      </c>
      <c r="O29" s="34">
        <f>25823</f>
        <v>25823</v>
      </c>
      <c r="Q29" s="34">
        <v>-212</v>
      </c>
      <c r="R29" s="34">
        <v>-1213</v>
      </c>
      <c r="S29" s="34">
        <v>-237</v>
      </c>
      <c r="T29" s="34">
        <v>-307</v>
      </c>
      <c r="U29" s="34">
        <v>-319</v>
      </c>
      <c r="V29" s="34">
        <v>-18</v>
      </c>
      <c r="W29" s="34">
        <v>-149</v>
      </c>
      <c r="X29" s="34">
        <v>-1015</v>
      </c>
      <c r="Y29" s="34">
        <v>-405</v>
      </c>
      <c r="Z29" s="34">
        <v>-777</v>
      </c>
      <c r="AA29" s="34">
        <v>-739</v>
      </c>
      <c r="AB29" s="34">
        <v>-799</v>
      </c>
      <c r="AC29" s="34">
        <v>-346</v>
      </c>
      <c r="AD29" s="34">
        <v>-359</v>
      </c>
      <c r="AE29" s="34">
        <v>1088</v>
      </c>
      <c r="AF29" s="34">
        <v>1693</v>
      </c>
      <c r="AG29" s="34">
        <v>2113</v>
      </c>
      <c r="AH29" s="34">
        <v>2600</v>
      </c>
      <c r="AI29" s="34">
        <v>2891</v>
      </c>
      <c r="AJ29" s="34">
        <v>2605</v>
      </c>
      <c r="AK29" s="34">
        <v>3705</v>
      </c>
      <c r="AL29" s="34">
        <v>3676</v>
      </c>
      <c r="AM29" s="34">
        <v>4270</v>
      </c>
      <c r="AN29" s="34">
        <v>4861</v>
      </c>
      <c r="AO29" s="34">
        <v>5627</v>
      </c>
      <c r="AP29" s="34">
        <f t="shared" si="11"/>
        <v>7334</v>
      </c>
      <c r="AQ29" s="34">
        <f>9746</f>
        <v>9746</v>
      </c>
      <c r="AR29" s="34">
        <f t="shared" si="12"/>
        <v>16077</v>
      </c>
      <c r="AS29" s="34">
        <f>25087</f>
        <v>25087</v>
      </c>
    </row>
    <row r="30" spans="1:45" x14ac:dyDescent="0.2">
      <c r="A30" s="6" t="s">
        <v>160</v>
      </c>
      <c r="B30" s="34">
        <f t="shared" si="0"/>
        <v>1585</v>
      </c>
      <c r="C30" s="34">
        <f t="shared" si="1"/>
        <v>1526</v>
      </c>
      <c r="D30" s="34">
        <f t="shared" si="2"/>
        <v>1833</v>
      </c>
      <c r="E30" s="34">
        <f t="shared" si="3"/>
        <v>2026</v>
      </c>
      <c r="F30" s="34">
        <f t="shared" si="4"/>
        <v>2002</v>
      </c>
      <c r="G30" s="34">
        <f t="shared" si="5"/>
        <v>1654</v>
      </c>
      <c r="H30" s="34">
        <f t="shared" si="6"/>
        <v>2524</v>
      </c>
      <c r="I30" s="34">
        <f t="shared" si="7"/>
        <v>1123</v>
      </c>
      <c r="J30" s="34">
        <f t="shared" si="8"/>
        <v>1585</v>
      </c>
      <c r="K30" s="34">
        <f t="shared" si="9"/>
        <v>2686</v>
      </c>
      <c r="L30" s="34">
        <f t="shared" si="13"/>
        <v>2842</v>
      </c>
      <c r="M30" s="34">
        <f t="shared" si="10"/>
        <v>2886</v>
      </c>
      <c r="N30" s="34">
        <v>2416</v>
      </c>
      <c r="O30" s="34">
        <f>-179</f>
        <v>-179</v>
      </c>
      <c r="Q30" s="34">
        <v>804</v>
      </c>
      <c r="R30" s="34">
        <v>781</v>
      </c>
      <c r="S30" s="34">
        <v>651</v>
      </c>
      <c r="T30" s="34">
        <v>875</v>
      </c>
      <c r="U30" s="34">
        <v>822</v>
      </c>
      <c r="V30" s="34">
        <v>1011</v>
      </c>
      <c r="W30" s="34">
        <v>302</v>
      </c>
      <c r="X30" s="34">
        <v>1724</v>
      </c>
      <c r="Y30" s="34">
        <v>795</v>
      </c>
      <c r="Z30" s="34">
        <v>1207</v>
      </c>
      <c r="AA30" s="34">
        <v>117</v>
      </c>
      <c r="AB30" s="34">
        <v>1537</v>
      </c>
      <c r="AC30" s="34">
        <v>754</v>
      </c>
      <c r="AD30" s="34">
        <v>1770</v>
      </c>
      <c r="AE30" s="34">
        <v>-369</v>
      </c>
      <c r="AF30" s="34">
        <v>1492</v>
      </c>
      <c r="AG30" s="34">
        <v>857</v>
      </c>
      <c r="AH30" s="34">
        <v>728</v>
      </c>
      <c r="AI30" s="34">
        <v>1082</v>
      </c>
      <c r="AJ30" s="34">
        <v>1604</v>
      </c>
      <c r="AK30" s="34">
        <v>1461</v>
      </c>
      <c r="AL30" s="34">
        <v>1381</v>
      </c>
      <c r="AM30" s="34">
        <v>1414</v>
      </c>
      <c r="AN30" s="34">
        <v>1472</v>
      </c>
      <c r="AO30" s="34">
        <v>502</v>
      </c>
      <c r="AP30" s="34">
        <f t="shared" si="11"/>
        <v>1914</v>
      </c>
      <c r="AQ30" s="34">
        <f>811</f>
        <v>811</v>
      </c>
      <c r="AR30" s="34">
        <f t="shared" si="12"/>
        <v>-990</v>
      </c>
      <c r="AS30" s="34">
        <f>-1434</f>
        <v>-1434</v>
      </c>
    </row>
    <row r="31" spans="1:45" ht="15" x14ac:dyDescent="0.25">
      <c r="A31" s="73" t="s">
        <v>238</v>
      </c>
      <c r="B31" s="78">
        <f t="shared" si="0"/>
        <v>7750</v>
      </c>
      <c r="C31" s="78">
        <f t="shared" si="1"/>
        <v>6378</v>
      </c>
      <c r="D31" s="78">
        <f t="shared" si="2"/>
        <v>8488</v>
      </c>
      <c r="E31" s="78">
        <f t="shared" si="3"/>
        <v>10342</v>
      </c>
      <c r="F31" s="78">
        <f t="shared" si="4"/>
        <v>7319</v>
      </c>
      <c r="G31" s="78">
        <f t="shared" si="5"/>
        <v>5522</v>
      </c>
      <c r="H31" s="78">
        <f t="shared" si="6"/>
        <v>11625</v>
      </c>
      <c r="I31" s="78">
        <f t="shared" si="7"/>
        <v>5773</v>
      </c>
      <c r="J31" s="78">
        <f t="shared" si="8"/>
        <v>6085</v>
      </c>
      <c r="K31" s="78">
        <f t="shared" si="9"/>
        <v>10181</v>
      </c>
      <c r="L31" s="78">
        <f t="shared" si="13"/>
        <v>11719</v>
      </c>
      <c r="M31" s="78">
        <f t="shared" si="10"/>
        <v>12320</v>
      </c>
      <c r="N31" s="78">
        <v>11070</v>
      </c>
      <c r="O31" s="78">
        <f>13066</f>
        <v>13066</v>
      </c>
      <c r="P31" s="40"/>
      <c r="Q31" s="78">
        <v>3388</v>
      </c>
      <c r="R31" s="78">
        <v>4362</v>
      </c>
      <c r="S31" s="78">
        <v>2965</v>
      </c>
      <c r="T31" s="78">
        <v>3413</v>
      </c>
      <c r="U31" s="78">
        <v>3742</v>
      </c>
      <c r="V31" s="78">
        <v>4746</v>
      </c>
      <c r="W31" s="78">
        <v>1383</v>
      </c>
      <c r="X31" s="78">
        <v>8959</v>
      </c>
      <c r="Y31" s="78">
        <v>3012</v>
      </c>
      <c r="Z31" s="78">
        <v>4307</v>
      </c>
      <c r="AA31" s="78">
        <v>1236</v>
      </c>
      <c r="AB31" s="78">
        <v>4286</v>
      </c>
      <c r="AC31" s="78">
        <v>3038</v>
      </c>
      <c r="AD31" s="78">
        <v>8587</v>
      </c>
      <c r="AE31" s="78">
        <v>1496</v>
      </c>
      <c r="AF31" s="78">
        <v>4277</v>
      </c>
      <c r="AG31" s="78">
        <v>3694</v>
      </c>
      <c r="AH31" s="78">
        <v>2391</v>
      </c>
      <c r="AI31" s="78">
        <v>2984</v>
      </c>
      <c r="AJ31" s="78">
        <v>7197</v>
      </c>
      <c r="AK31" s="78">
        <v>5190</v>
      </c>
      <c r="AL31" s="78">
        <v>6529</v>
      </c>
      <c r="AM31" s="78">
        <f>SUM(AM7:AM30)</f>
        <v>3944</v>
      </c>
      <c r="AN31" s="78">
        <v>8376</v>
      </c>
      <c r="AO31" s="78">
        <f>SUM(AO7:AO30)</f>
        <v>4385</v>
      </c>
      <c r="AP31" s="78">
        <f t="shared" si="11"/>
        <v>6685</v>
      </c>
      <c r="AQ31" s="78">
        <f>SUM(AQ7:AQ30)</f>
        <v>9302</v>
      </c>
      <c r="AR31" s="78">
        <f t="shared" si="12"/>
        <v>3764</v>
      </c>
      <c r="AS31" s="78">
        <f t="shared" ref="AS31" si="26">SUM(AS7:AS30)</f>
        <v>5748</v>
      </c>
    </row>
    <row r="32" spans="1:45" x14ac:dyDescent="0.2">
      <c r="A32" s="6" t="s">
        <v>239</v>
      </c>
      <c r="B32" s="34">
        <f t="shared" si="0"/>
        <v>-5308</v>
      </c>
      <c r="C32" s="34">
        <f t="shared" si="1"/>
        <v>-7633</v>
      </c>
      <c r="D32" s="34">
        <f t="shared" si="2"/>
        <v>-7837</v>
      </c>
      <c r="E32" s="34">
        <f t="shared" si="3"/>
        <v>-6890</v>
      </c>
      <c r="F32" s="34">
        <f t="shared" si="4"/>
        <v>-8255</v>
      </c>
      <c r="G32" s="34">
        <f t="shared" si="5"/>
        <v>-1780</v>
      </c>
      <c r="H32" s="34">
        <f t="shared" si="6"/>
        <v>-1009</v>
      </c>
      <c r="I32" s="34">
        <f t="shared" si="7"/>
        <v>3582</v>
      </c>
      <c r="J32" s="34">
        <f t="shared" si="8"/>
        <v>12506</v>
      </c>
      <c r="K32" s="34">
        <f t="shared" si="9"/>
        <v>-15619</v>
      </c>
      <c r="L32" s="34">
        <f t="shared" si="13"/>
        <v>3211</v>
      </c>
      <c r="M32" s="34">
        <f t="shared" si="10"/>
        <v>-24897</v>
      </c>
      <c r="N32" s="34">
        <v>-9780</v>
      </c>
      <c r="O32" s="34">
        <f>3224</f>
        <v>3224</v>
      </c>
      <c r="Q32" s="34">
        <v>-1772</v>
      </c>
      <c r="R32" s="34">
        <v>-3536</v>
      </c>
      <c r="S32" s="34">
        <v>-2082</v>
      </c>
      <c r="T32" s="34">
        <v>-5551</v>
      </c>
      <c r="U32" s="34">
        <v>-1957</v>
      </c>
      <c r="V32" s="34">
        <v>-5880</v>
      </c>
      <c r="W32" s="34">
        <v>-6763</v>
      </c>
      <c r="X32" s="34">
        <v>-127</v>
      </c>
      <c r="Y32" s="34">
        <v>-2418</v>
      </c>
      <c r="Z32" s="34">
        <v>-5837</v>
      </c>
      <c r="AA32" s="34">
        <v>-502</v>
      </c>
      <c r="AB32" s="34">
        <v>-1278</v>
      </c>
      <c r="AC32" s="34">
        <v>-582</v>
      </c>
      <c r="AD32" s="34">
        <v>-427</v>
      </c>
      <c r="AE32" s="34">
        <v>-4833</v>
      </c>
      <c r="AF32" s="34">
        <v>8415</v>
      </c>
      <c r="AG32" s="34">
        <v>7357</v>
      </c>
      <c r="AH32" s="34">
        <v>5149</v>
      </c>
      <c r="AI32" s="34">
        <v>2781</v>
      </c>
      <c r="AJ32" s="34">
        <v>-18400</v>
      </c>
      <c r="AK32" s="34">
        <v>3242</v>
      </c>
      <c r="AL32" s="34">
        <v>-31</v>
      </c>
      <c r="AM32" s="34">
        <v>-14724</v>
      </c>
      <c r="AN32" s="34">
        <v>-10173</v>
      </c>
      <c r="AO32" s="34">
        <f>-11430</f>
        <v>-11430</v>
      </c>
      <c r="AP32" s="34">
        <f t="shared" si="11"/>
        <v>1650</v>
      </c>
      <c r="AQ32" s="34">
        <f>9449</f>
        <v>9449</v>
      </c>
      <c r="AR32" s="34">
        <f t="shared" si="12"/>
        <v>-6225</v>
      </c>
      <c r="AS32" s="34">
        <v>8759</v>
      </c>
    </row>
    <row r="33" spans="1:45" x14ac:dyDescent="0.2">
      <c r="A33" s="6" t="s">
        <v>240</v>
      </c>
      <c r="B33" s="34">
        <f t="shared" si="0"/>
        <v>-2893</v>
      </c>
      <c r="C33" s="34">
        <f t="shared" si="1"/>
        <v>-3024</v>
      </c>
      <c r="D33" s="34">
        <f t="shared" si="2"/>
        <v>-5080</v>
      </c>
      <c r="E33" s="34">
        <f t="shared" si="3"/>
        <v>-1427</v>
      </c>
      <c r="F33" s="34">
        <f t="shared" si="4"/>
        <v>-3899</v>
      </c>
      <c r="G33" s="34">
        <f t="shared" si="5"/>
        <v>-3746</v>
      </c>
      <c r="H33" s="34">
        <f t="shared" si="6"/>
        <v>-6953</v>
      </c>
      <c r="I33" s="34">
        <f t="shared" si="7"/>
        <v>9036</v>
      </c>
      <c r="J33" s="34">
        <f t="shared" si="8"/>
        <v>544</v>
      </c>
      <c r="K33" s="34">
        <f t="shared" si="9"/>
        <v>2642</v>
      </c>
      <c r="L33" s="34">
        <f t="shared" si="13"/>
        <v>-2386</v>
      </c>
      <c r="M33" s="34">
        <f t="shared" si="10"/>
        <v>-2212</v>
      </c>
      <c r="N33" s="34">
        <v>-49</v>
      </c>
      <c r="O33" s="34">
        <f>-14889</f>
        <v>-14889</v>
      </c>
      <c r="Q33" s="34">
        <v>-915</v>
      </c>
      <c r="R33" s="34">
        <v>-1978</v>
      </c>
      <c r="S33" s="34">
        <v>-401</v>
      </c>
      <c r="T33" s="34">
        <v>-2623</v>
      </c>
      <c r="U33" s="34">
        <v>-3243</v>
      </c>
      <c r="V33" s="34">
        <v>-1837</v>
      </c>
      <c r="W33" s="34">
        <v>-2093</v>
      </c>
      <c r="X33" s="34">
        <v>666</v>
      </c>
      <c r="Y33" s="34">
        <v>-366</v>
      </c>
      <c r="Z33" s="34">
        <v>-3533</v>
      </c>
      <c r="AA33" s="34">
        <v>-2381</v>
      </c>
      <c r="AB33" s="34">
        <v>-1365</v>
      </c>
      <c r="AC33" s="34">
        <v>-7998</v>
      </c>
      <c r="AD33" s="34">
        <v>1045</v>
      </c>
      <c r="AE33" s="34">
        <v>4391</v>
      </c>
      <c r="AF33" s="34">
        <v>4645</v>
      </c>
      <c r="AG33" s="34">
        <v>-1862</v>
      </c>
      <c r="AH33" s="34">
        <v>2406</v>
      </c>
      <c r="AI33" s="34">
        <v>2635</v>
      </c>
      <c r="AJ33" s="34">
        <v>7</v>
      </c>
      <c r="AK33" s="34">
        <v>-3421</v>
      </c>
      <c r="AL33" s="34">
        <v>1035</v>
      </c>
      <c r="AM33" s="34">
        <v>1075</v>
      </c>
      <c r="AN33" s="34">
        <v>-3287</v>
      </c>
      <c r="AO33" s="34">
        <v>-2847</v>
      </c>
      <c r="AP33" s="34">
        <f t="shared" si="11"/>
        <v>2798</v>
      </c>
      <c r="AQ33" s="34">
        <f>-7296</f>
        <v>-7296</v>
      </c>
      <c r="AR33" s="34">
        <f t="shared" si="12"/>
        <v>-7593</v>
      </c>
      <c r="AS33" s="34">
        <f>-2591</f>
        <v>-2591</v>
      </c>
    </row>
    <row r="34" spans="1:45" x14ac:dyDescent="0.2">
      <c r="A34" s="6" t="s">
        <v>243</v>
      </c>
      <c r="B34" s="34">
        <f>SUM(Q34:R34)</f>
        <v>0</v>
      </c>
      <c r="C34" s="34">
        <f>SUM(S34:T34)</f>
        <v>0</v>
      </c>
      <c r="D34" s="34">
        <f>SUM(U34:V34)</f>
        <v>0</v>
      </c>
      <c r="E34" s="34">
        <f>SUM(W34:X34)</f>
        <v>0</v>
      </c>
      <c r="F34" s="34">
        <f>SUM(Y34:Z34)</f>
        <v>0</v>
      </c>
      <c r="G34" s="34">
        <f>SUM(AA34:AB34)</f>
        <v>0</v>
      </c>
      <c r="H34" s="34">
        <f>SUM(AC34:AD34)</f>
        <v>-203</v>
      </c>
      <c r="I34" s="34">
        <f>SUM(AE34:AF34)</f>
        <v>-57</v>
      </c>
      <c r="J34" s="34">
        <f>SUM(AG34:AH34)</f>
        <v>-1219</v>
      </c>
      <c r="K34" s="34">
        <f>SUM(AI34:AJ34)</f>
        <v>-4675</v>
      </c>
      <c r="L34" s="34">
        <f>SUM(AK34:AL34)</f>
        <v>-18194</v>
      </c>
      <c r="M34" s="34">
        <f>SUM(AM34:AN34)</f>
        <v>-24029</v>
      </c>
      <c r="N34" s="34">
        <v>-25990</v>
      </c>
      <c r="O34" s="34">
        <f>-70894</f>
        <v>-70894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-991</v>
      </c>
      <c r="AD34" s="34">
        <v>788</v>
      </c>
      <c r="AE34" s="34">
        <v>1023</v>
      </c>
      <c r="AF34" s="34">
        <v>-1080</v>
      </c>
      <c r="AG34" s="34">
        <v>-333</v>
      </c>
      <c r="AH34" s="34">
        <v>-886</v>
      </c>
      <c r="AI34" s="34">
        <v>-1513</v>
      </c>
      <c r="AJ34" s="34">
        <v>-3162</v>
      </c>
      <c r="AK34" s="34">
        <v>-5237</v>
      </c>
      <c r="AL34" s="34">
        <v>-12957</v>
      </c>
      <c r="AM34" s="34">
        <v>-8788</v>
      </c>
      <c r="AN34" s="34">
        <v>-15241</v>
      </c>
      <c r="AO34" s="34">
        <v>-5641</v>
      </c>
      <c r="AP34" s="34">
        <f t="shared" si="11"/>
        <v>-20349</v>
      </c>
      <c r="AQ34" s="34">
        <f>-30474</f>
        <v>-30474</v>
      </c>
      <c r="AR34" s="34">
        <f t="shared" si="12"/>
        <v>-40420</v>
      </c>
      <c r="AS34" s="34">
        <f>-38402</f>
        <v>-38402</v>
      </c>
    </row>
    <row r="35" spans="1:45" x14ac:dyDescent="0.2">
      <c r="A35" s="6" t="s">
        <v>434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f>-1360</f>
        <v>-1360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>
        <f>-1182</f>
        <v>-1182</v>
      </c>
      <c r="AR35" s="34">
        <f t="shared" si="12"/>
        <v>-178</v>
      </c>
      <c r="AS35" s="34">
        <f>114</f>
        <v>114</v>
      </c>
    </row>
    <row r="36" spans="1:45" x14ac:dyDescent="0.2">
      <c r="A36" s="6" t="s">
        <v>435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>
        <f>-1137</f>
        <v>-1137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>
        <f>-2000</f>
        <v>-2000</v>
      </c>
      <c r="AR36" s="34">
        <f t="shared" si="12"/>
        <v>863</v>
      </c>
      <c r="AS36" s="34">
        <f>407</f>
        <v>407</v>
      </c>
    </row>
    <row r="37" spans="1:45" x14ac:dyDescent="0.2">
      <c r="A37" s="6" t="s">
        <v>241</v>
      </c>
      <c r="B37" s="34">
        <f t="shared" si="0"/>
        <v>-818</v>
      </c>
      <c r="C37" s="34">
        <f t="shared" si="1"/>
        <v>4074</v>
      </c>
      <c r="D37" s="34">
        <f t="shared" si="2"/>
        <v>4880</v>
      </c>
      <c r="E37" s="34">
        <f t="shared" si="3"/>
        <v>1184</v>
      </c>
      <c r="F37" s="34">
        <f t="shared" si="4"/>
        <v>2369</v>
      </c>
      <c r="G37" s="34">
        <f t="shared" si="5"/>
        <v>7812</v>
      </c>
      <c r="H37" s="34">
        <f t="shared" si="6"/>
        <v>161</v>
      </c>
      <c r="I37" s="34">
        <f t="shared" si="7"/>
        <v>-65</v>
      </c>
      <c r="J37" s="34">
        <f t="shared" si="8"/>
        <v>-9511</v>
      </c>
      <c r="K37" s="34">
        <f t="shared" si="9"/>
        <v>24390</v>
      </c>
      <c r="L37" s="34">
        <f t="shared" si="13"/>
        <v>5937</v>
      </c>
      <c r="M37" s="34">
        <f t="shared" si="10"/>
        <v>2424</v>
      </c>
      <c r="N37" s="34">
        <v>-4994</v>
      </c>
      <c r="O37" s="34">
        <f>-11221</f>
        <v>-11221</v>
      </c>
      <c r="Q37" s="34">
        <v>-437</v>
      </c>
      <c r="R37" s="34">
        <v>-381</v>
      </c>
      <c r="S37" s="34">
        <v>1434</v>
      </c>
      <c r="T37" s="34">
        <v>2640</v>
      </c>
      <c r="U37" s="34">
        <v>1478</v>
      </c>
      <c r="V37" s="34">
        <v>3402</v>
      </c>
      <c r="W37" s="34">
        <v>10135</v>
      </c>
      <c r="X37" s="34">
        <v>-8951</v>
      </c>
      <c r="Y37" s="34">
        <v>-1461</v>
      </c>
      <c r="Z37" s="34">
        <v>3830</v>
      </c>
      <c r="AA37" s="34">
        <v>8519</v>
      </c>
      <c r="AB37" s="34">
        <v>-707</v>
      </c>
      <c r="AC37" s="34">
        <v>-1024</v>
      </c>
      <c r="AD37" s="34">
        <v>1185</v>
      </c>
      <c r="AE37" s="34">
        <v>-2068</v>
      </c>
      <c r="AF37" s="34">
        <v>2003</v>
      </c>
      <c r="AG37" s="34">
        <v>-9286</v>
      </c>
      <c r="AH37" s="34">
        <v>-225</v>
      </c>
      <c r="AI37" s="34">
        <v>-2870</v>
      </c>
      <c r="AJ37" s="34">
        <v>27260</v>
      </c>
      <c r="AK37" s="34">
        <v>2062</v>
      </c>
      <c r="AL37" s="34">
        <v>3875</v>
      </c>
      <c r="AM37" s="34">
        <v>2401</v>
      </c>
      <c r="AN37" s="34">
        <v>23</v>
      </c>
      <c r="AO37" s="34">
        <v>-1810</v>
      </c>
      <c r="AP37" s="34">
        <f t="shared" si="11"/>
        <v>-3184</v>
      </c>
      <c r="AQ37" s="34">
        <f>-16092</f>
        <v>-16092</v>
      </c>
      <c r="AR37" s="34">
        <f t="shared" si="12"/>
        <v>4871</v>
      </c>
      <c r="AS37" s="34">
        <v>-629</v>
      </c>
    </row>
    <row r="38" spans="1:45" x14ac:dyDescent="0.2">
      <c r="A38" s="6" t="s">
        <v>244</v>
      </c>
      <c r="B38" s="34">
        <f>SUM(Q38:R38)</f>
        <v>0</v>
      </c>
      <c r="C38" s="34">
        <f>SUM(S38:T38)</f>
        <v>0</v>
      </c>
      <c r="D38" s="34">
        <f>SUM(U38:V38)</f>
        <v>0</v>
      </c>
      <c r="E38" s="34">
        <f>SUM(W38:X38)</f>
        <v>0</v>
      </c>
      <c r="F38" s="34">
        <f>SUM(Y38:Z38)</f>
        <v>0</v>
      </c>
      <c r="G38" s="34">
        <f>SUM(AA38:AB38)</f>
        <v>0</v>
      </c>
      <c r="H38" s="34">
        <f>SUM(AC38:AD38)</f>
        <v>1329</v>
      </c>
      <c r="I38" s="34">
        <f>SUM(AE38:AF38)</f>
        <v>1500</v>
      </c>
      <c r="J38" s="34">
        <f>SUM(AG38:AH38)</f>
        <v>9290</v>
      </c>
      <c r="K38" s="34">
        <f>SUM(AI38:AJ38)</f>
        <v>-8088</v>
      </c>
      <c r="L38" s="34">
        <f>SUM(AK38:AL38)</f>
        <v>-14194</v>
      </c>
      <c r="M38" s="34">
        <f>SUM(AM38:AN38)</f>
        <v>-3577</v>
      </c>
      <c r="N38" s="34">
        <v>-3291</v>
      </c>
      <c r="O38" s="34">
        <f>3425</f>
        <v>3425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7727</v>
      </c>
      <c r="AD38" s="34">
        <v>-6398</v>
      </c>
      <c r="AE38" s="34">
        <v>8492</v>
      </c>
      <c r="AF38" s="34">
        <v>-6992</v>
      </c>
      <c r="AG38" s="34">
        <v>13454</v>
      </c>
      <c r="AH38" s="34">
        <v>-4164</v>
      </c>
      <c r="AI38" s="34">
        <v>-3210</v>
      </c>
      <c r="AJ38" s="34">
        <v>-4878</v>
      </c>
      <c r="AK38" s="34">
        <v>-6266</v>
      </c>
      <c r="AL38" s="34">
        <v>-7928</v>
      </c>
      <c r="AM38" s="34">
        <v>-674</v>
      </c>
      <c r="AN38" s="34">
        <v>-2903</v>
      </c>
      <c r="AO38" s="34">
        <v>2724</v>
      </c>
      <c r="AP38" s="34">
        <f t="shared" si="11"/>
        <v>-6015</v>
      </c>
      <c r="AQ38" s="34">
        <f>3849</f>
        <v>3849</v>
      </c>
      <c r="AR38" s="34">
        <f t="shared" si="12"/>
        <v>-424</v>
      </c>
      <c r="AS38" s="34">
        <f>969</f>
        <v>969</v>
      </c>
    </row>
    <row r="39" spans="1:45" x14ac:dyDescent="0.2">
      <c r="A39" s="6" t="s">
        <v>242</v>
      </c>
      <c r="B39" s="34">
        <f t="shared" si="0"/>
        <v>367</v>
      </c>
      <c r="C39" s="34">
        <f t="shared" si="1"/>
        <v>-992</v>
      </c>
      <c r="D39" s="34">
        <f t="shared" si="2"/>
        <v>1109</v>
      </c>
      <c r="E39" s="34">
        <f t="shared" si="3"/>
        <v>594</v>
      </c>
      <c r="F39" s="34">
        <f t="shared" si="4"/>
        <v>1315</v>
      </c>
      <c r="G39" s="34">
        <f t="shared" si="5"/>
        <v>-1808</v>
      </c>
      <c r="H39" s="34">
        <f t="shared" si="6"/>
        <v>112</v>
      </c>
      <c r="I39" s="34">
        <f t="shared" si="7"/>
        <v>-883</v>
      </c>
      <c r="J39" s="34">
        <f t="shared" si="8"/>
        <v>-420</v>
      </c>
      <c r="K39" s="34">
        <f t="shared" si="9"/>
        <v>-278</v>
      </c>
      <c r="L39" s="34">
        <f t="shared" si="13"/>
        <v>108</v>
      </c>
      <c r="M39" s="34">
        <f t="shared" si="10"/>
        <v>-28</v>
      </c>
      <c r="N39" s="34">
        <v>-2964</v>
      </c>
      <c r="O39" s="34">
        <f>3403</f>
        <v>3403</v>
      </c>
      <c r="Q39" s="34">
        <v>-151</v>
      </c>
      <c r="R39" s="34">
        <v>518</v>
      </c>
      <c r="S39" s="34">
        <v>-410</v>
      </c>
      <c r="T39" s="34">
        <v>-582</v>
      </c>
      <c r="U39" s="34">
        <v>-317</v>
      </c>
      <c r="V39" s="34">
        <v>1426</v>
      </c>
      <c r="W39" s="34">
        <v>-324</v>
      </c>
      <c r="X39" s="34">
        <v>918</v>
      </c>
      <c r="Y39" s="34">
        <v>-600</v>
      </c>
      <c r="Z39" s="34">
        <v>1915</v>
      </c>
      <c r="AA39" s="34">
        <v>-1694</v>
      </c>
      <c r="AB39" s="34">
        <v>-114</v>
      </c>
      <c r="AC39" s="34">
        <v>-261</v>
      </c>
      <c r="AD39" s="34">
        <v>373</v>
      </c>
      <c r="AE39" s="34">
        <v>-654</v>
      </c>
      <c r="AF39" s="34">
        <v>-229</v>
      </c>
      <c r="AG39" s="34">
        <v>-316</v>
      </c>
      <c r="AH39" s="34">
        <v>-104</v>
      </c>
      <c r="AI39" s="34">
        <v>0</v>
      </c>
      <c r="AJ39" s="34">
        <v>-278</v>
      </c>
      <c r="AK39" s="34">
        <v>449</v>
      </c>
      <c r="AL39" s="34">
        <v>-341</v>
      </c>
      <c r="AM39" s="34">
        <v>617</v>
      </c>
      <c r="AN39" s="34">
        <v>-645</v>
      </c>
      <c r="AO39" s="34">
        <v>-327</v>
      </c>
      <c r="AP39" s="34">
        <f t="shared" si="11"/>
        <v>-2637</v>
      </c>
      <c r="AQ39" s="34">
        <f>236</f>
        <v>236</v>
      </c>
      <c r="AR39" s="34">
        <f t="shared" si="12"/>
        <v>3167</v>
      </c>
      <c r="AS39" s="34">
        <f>976</f>
        <v>976</v>
      </c>
    </row>
    <row r="40" spans="1:45" x14ac:dyDescent="0.2">
      <c r="A40" s="6" t="s">
        <v>245</v>
      </c>
      <c r="B40" s="34">
        <f t="shared" si="0"/>
        <v>24</v>
      </c>
      <c r="C40" s="34">
        <f t="shared" si="1"/>
        <v>3</v>
      </c>
      <c r="D40" s="34">
        <f t="shared" si="2"/>
        <v>25</v>
      </c>
      <c r="E40" s="34">
        <f t="shared" si="3"/>
        <v>-59</v>
      </c>
      <c r="F40" s="34">
        <f t="shared" si="4"/>
        <v>0</v>
      </c>
      <c r="G40" s="34">
        <f t="shared" si="5"/>
        <v>0</v>
      </c>
      <c r="H40" s="34">
        <f t="shared" si="6"/>
        <v>0</v>
      </c>
      <c r="I40" s="34">
        <f t="shared" si="7"/>
        <v>0</v>
      </c>
      <c r="J40" s="34">
        <f t="shared" si="8"/>
        <v>0</v>
      </c>
      <c r="K40" s="34">
        <f t="shared" si="9"/>
        <v>0</v>
      </c>
      <c r="L40" s="34">
        <f t="shared" si="13"/>
        <v>0</v>
      </c>
      <c r="M40" s="34">
        <f t="shared" si="10"/>
        <v>0</v>
      </c>
      <c r="N40" s="34">
        <f t="shared" si="10"/>
        <v>0</v>
      </c>
      <c r="O40" s="34">
        <f>0</f>
        <v>0</v>
      </c>
      <c r="Q40" s="34">
        <v>28</v>
      </c>
      <c r="R40" s="34">
        <v>-4</v>
      </c>
      <c r="S40" s="34">
        <v>21</v>
      </c>
      <c r="T40" s="34">
        <v>-18</v>
      </c>
      <c r="U40" s="34">
        <v>12</v>
      </c>
      <c r="V40" s="34">
        <v>13</v>
      </c>
      <c r="W40" s="34">
        <v>-11</v>
      </c>
      <c r="X40" s="34">
        <v>-48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/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f t="shared" si="11"/>
        <v>0</v>
      </c>
      <c r="AQ40" s="34">
        <f>0</f>
        <v>0</v>
      </c>
      <c r="AR40" s="34">
        <f t="shared" si="12"/>
        <v>0</v>
      </c>
      <c r="AS40" s="34">
        <f>0</f>
        <v>0</v>
      </c>
    </row>
    <row r="41" spans="1:45" ht="15" x14ac:dyDescent="0.25">
      <c r="A41" s="73" t="s">
        <v>246</v>
      </c>
      <c r="B41" s="78">
        <f t="shared" si="0"/>
        <v>-878</v>
      </c>
      <c r="C41" s="78">
        <f t="shared" si="1"/>
        <v>-1194</v>
      </c>
      <c r="D41" s="78">
        <f t="shared" si="2"/>
        <v>1585</v>
      </c>
      <c r="E41" s="78">
        <f t="shared" si="3"/>
        <v>3744</v>
      </c>
      <c r="F41" s="78">
        <f t="shared" si="4"/>
        <v>-1151</v>
      </c>
      <c r="G41" s="78">
        <f t="shared" si="5"/>
        <v>6000</v>
      </c>
      <c r="H41" s="78">
        <f t="shared" si="6"/>
        <v>5062</v>
      </c>
      <c r="I41" s="78">
        <f t="shared" si="7"/>
        <v>18886</v>
      </c>
      <c r="J41" s="78">
        <f t="shared" si="8"/>
        <v>17275</v>
      </c>
      <c r="K41" s="78">
        <f t="shared" si="9"/>
        <v>8553</v>
      </c>
      <c r="L41" s="78">
        <f t="shared" si="13"/>
        <v>-13799</v>
      </c>
      <c r="M41" s="78">
        <f t="shared" si="10"/>
        <v>-39999</v>
      </c>
      <c r="N41" s="78">
        <f>SUM(N31:N40)</f>
        <v>-35998</v>
      </c>
      <c r="O41" s="78">
        <f>SUM(O31:O40)</f>
        <v>-76383</v>
      </c>
      <c r="P41" s="40"/>
      <c r="Q41" s="78">
        <v>141</v>
      </c>
      <c r="R41" s="78">
        <v>-1019</v>
      </c>
      <c r="S41" s="78">
        <v>1527</v>
      </c>
      <c r="T41" s="78">
        <v>-2721</v>
      </c>
      <c r="U41" s="78">
        <v>-285</v>
      </c>
      <c r="V41" s="78">
        <v>1870</v>
      </c>
      <c r="W41" s="78">
        <v>2327</v>
      </c>
      <c r="X41" s="78">
        <v>1417</v>
      </c>
      <c r="Y41" s="78">
        <v>-1833</v>
      </c>
      <c r="Z41" s="78">
        <v>682</v>
      </c>
      <c r="AA41" s="78">
        <v>5178</v>
      </c>
      <c r="AB41" s="78">
        <v>822</v>
      </c>
      <c r="AC41" s="78">
        <v>-91</v>
      </c>
      <c r="AD41" s="78">
        <v>5153</v>
      </c>
      <c r="AE41" s="78">
        <v>7847</v>
      </c>
      <c r="AF41" s="78">
        <v>11039</v>
      </c>
      <c r="AG41" s="78">
        <v>12708</v>
      </c>
      <c r="AH41" s="78">
        <v>4567</v>
      </c>
      <c r="AI41" s="78">
        <v>807</v>
      </c>
      <c r="AJ41" s="78">
        <v>7746</v>
      </c>
      <c r="AK41" s="78">
        <v>-3981</v>
      </c>
      <c r="AL41" s="78">
        <v>-9818</v>
      </c>
      <c r="AM41" s="78">
        <f>SUM(AM31:AM40)</f>
        <v>-16149</v>
      </c>
      <c r="AN41" s="78">
        <v>-23850</v>
      </c>
      <c r="AO41" s="78">
        <f>SUM(AO31:AO40)</f>
        <v>-14946</v>
      </c>
      <c r="AP41" s="78">
        <f t="shared" si="11"/>
        <v>-21052</v>
      </c>
      <c r="AQ41" s="78">
        <f>SUM(AQ31:AQ40)</f>
        <v>-34208</v>
      </c>
      <c r="AR41" s="78">
        <f t="shared" si="12"/>
        <v>-42175</v>
      </c>
      <c r="AS41" s="78">
        <f>SUM(AS31:AS40)</f>
        <v>-24649</v>
      </c>
    </row>
    <row r="42" spans="1:45" x14ac:dyDescent="0.2">
      <c r="A42" s="6" t="s">
        <v>247</v>
      </c>
      <c r="B42" s="34">
        <f t="shared" si="0"/>
        <v>-1897</v>
      </c>
      <c r="C42" s="34">
        <f t="shared" si="1"/>
        <v>-1833</v>
      </c>
      <c r="D42" s="34">
        <f t="shared" si="2"/>
        <v>-907</v>
      </c>
      <c r="E42" s="34">
        <f t="shared" si="3"/>
        <v>-1645</v>
      </c>
      <c r="F42" s="34">
        <f t="shared" si="4"/>
        <v>-2146</v>
      </c>
      <c r="G42" s="34">
        <f t="shared" si="5"/>
        <v>-1960</v>
      </c>
      <c r="H42" s="34">
        <f t="shared" si="6"/>
        <v>-2381</v>
      </c>
      <c r="I42" s="34">
        <f t="shared" si="7"/>
        <v>-1483</v>
      </c>
      <c r="J42" s="34">
        <f t="shared" si="8"/>
        <v>-3939</v>
      </c>
      <c r="K42" s="34">
        <f t="shared" si="9"/>
        <v>-4647</v>
      </c>
      <c r="L42" s="34">
        <f t="shared" si="13"/>
        <v>-3543</v>
      </c>
      <c r="M42" s="34">
        <f t="shared" si="10"/>
        <v>-5553</v>
      </c>
      <c r="N42" s="34">
        <v>-4518</v>
      </c>
      <c r="O42" s="34">
        <f>-2637</f>
        <v>-2637</v>
      </c>
      <c r="Q42" s="34">
        <v>-1370</v>
      </c>
      <c r="R42" s="34">
        <v>-527</v>
      </c>
      <c r="S42" s="34">
        <v>-936</v>
      </c>
      <c r="T42" s="34">
        <v>-897</v>
      </c>
      <c r="U42" s="34">
        <v>-632</v>
      </c>
      <c r="V42" s="34">
        <v>-275</v>
      </c>
      <c r="W42" s="34">
        <v>-742</v>
      </c>
      <c r="X42" s="34">
        <v>-903</v>
      </c>
      <c r="Y42" s="34">
        <v>-1605</v>
      </c>
      <c r="Z42" s="34">
        <v>-541</v>
      </c>
      <c r="AA42" s="34">
        <v>-1070</v>
      </c>
      <c r="AB42" s="34">
        <v>-890</v>
      </c>
      <c r="AC42" s="34">
        <v>-1018</v>
      </c>
      <c r="AD42" s="34">
        <v>-1363</v>
      </c>
      <c r="AE42" s="34">
        <v>-600</v>
      </c>
      <c r="AF42" s="34">
        <v>-883</v>
      </c>
      <c r="AG42" s="34">
        <v>-1620</v>
      </c>
      <c r="AH42" s="34">
        <v>-2319</v>
      </c>
      <c r="AI42" s="34">
        <v>-1731</v>
      </c>
      <c r="AJ42" s="34">
        <v>-2916</v>
      </c>
      <c r="AK42" s="34">
        <v>-1231</v>
      </c>
      <c r="AL42" s="34">
        <v>-2312</v>
      </c>
      <c r="AM42" s="34">
        <v>-1149</v>
      </c>
      <c r="AN42" s="34">
        <v>-4404</v>
      </c>
      <c r="AO42" s="34">
        <v>-1887</v>
      </c>
      <c r="AP42" s="34">
        <f t="shared" si="11"/>
        <v>-2631</v>
      </c>
      <c r="AQ42" s="34">
        <f>-2161</f>
        <v>-2161</v>
      </c>
      <c r="AR42" s="34">
        <f t="shared" si="12"/>
        <v>-476</v>
      </c>
      <c r="AS42" s="34">
        <f>-1659</f>
        <v>-1659</v>
      </c>
    </row>
    <row r="43" spans="1:45" x14ac:dyDescent="0.2">
      <c r="A43" s="6" t="s">
        <v>248</v>
      </c>
      <c r="B43" s="34">
        <f t="shared" si="0"/>
        <v>-1098</v>
      </c>
      <c r="C43" s="34">
        <f t="shared" si="1"/>
        <v>-1097</v>
      </c>
      <c r="D43" s="34">
        <f t="shared" si="2"/>
        <v>-1724</v>
      </c>
      <c r="E43" s="34">
        <f t="shared" si="3"/>
        <v>-1588</v>
      </c>
      <c r="F43" s="34">
        <f t="shared" si="4"/>
        <v>-2516</v>
      </c>
      <c r="G43" s="34">
        <f t="shared" si="5"/>
        <v>-2603</v>
      </c>
      <c r="H43" s="34">
        <f t="shared" si="6"/>
        <v>-2257</v>
      </c>
      <c r="I43" s="34">
        <f t="shared" si="7"/>
        <v>-2246</v>
      </c>
      <c r="J43" s="34">
        <f t="shared" si="8"/>
        <v>-4824</v>
      </c>
      <c r="K43" s="34">
        <f t="shared" si="9"/>
        <v>-4803</v>
      </c>
      <c r="L43" s="34">
        <f t="shared" si="13"/>
        <v>-4461</v>
      </c>
      <c r="M43" s="34">
        <f t="shared" si="10"/>
        <v>-5263</v>
      </c>
      <c r="N43" s="34">
        <v>-6015</v>
      </c>
      <c r="O43" s="34">
        <f>-10589</f>
        <v>-10589</v>
      </c>
      <c r="Q43" s="34">
        <v>-547</v>
      </c>
      <c r="R43" s="34">
        <v>-551</v>
      </c>
      <c r="S43" s="34">
        <v>-476</v>
      </c>
      <c r="T43" s="34">
        <v>-621</v>
      </c>
      <c r="U43" s="34">
        <v>-871</v>
      </c>
      <c r="V43" s="34">
        <v>-853</v>
      </c>
      <c r="W43" s="34">
        <v>-683</v>
      </c>
      <c r="X43" s="34">
        <v>-905</v>
      </c>
      <c r="Y43" s="34">
        <v>-1180</v>
      </c>
      <c r="Z43" s="34">
        <v>-1336</v>
      </c>
      <c r="AA43" s="34">
        <v>-1278</v>
      </c>
      <c r="AB43" s="34">
        <v>-1325</v>
      </c>
      <c r="AC43" s="34">
        <v>-1093</v>
      </c>
      <c r="AD43" s="34">
        <v>-1164</v>
      </c>
      <c r="AE43" s="34">
        <v>-1146</v>
      </c>
      <c r="AF43" s="34">
        <v>-1100</v>
      </c>
      <c r="AG43" s="34">
        <v>-2056</v>
      </c>
      <c r="AH43" s="34">
        <v>-2768</v>
      </c>
      <c r="AI43" s="34">
        <v>-2504</v>
      </c>
      <c r="AJ43" s="34">
        <v>-2299</v>
      </c>
      <c r="AK43" s="34">
        <v>-2097</v>
      </c>
      <c r="AL43" s="34">
        <v>-2364</v>
      </c>
      <c r="AM43" s="34">
        <v>-4385</v>
      </c>
      <c r="AN43" s="34">
        <v>-878</v>
      </c>
      <c r="AO43" s="34">
        <v>-2588</v>
      </c>
      <c r="AP43" s="34">
        <f t="shared" si="11"/>
        <v>-3427</v>
      </c>
      <c r="AQ43" s="34">
        <f>-5342</f>
        <v>-5342</v>
      </c>
      <c r="AR43" s="34">
        <f t="shared" si="12"/>
        <v>-5247</v>
      </c>
      <c r="AS43" s="34">
        <f>-8042</f>
        <v>-8042</v>
      </c>
    </row>
    <row r="44" spans="1:45" x14ac:dyDescent="0.2">
      <c r="A44" s="51" t="s">
        <v>249</v>
      </c>
      <c r="B44" s="79">
        <f t="shared" si="0"/>
        <v>-3873</v>
      </c>
      <c r="C44" s="79">
        <f t="shared" si="1"/>
        <v>-4124</v>
      </c>
      <c r="D44" s="79">
        <f t="shared" si="2"/>
        <v>-1046</v>
      </c>
      <c r="E44" s="79">
        <f t="shared" si="3"/>
        <v>511</v>
      </c>
      <c r="F44" s="79">
        <f t="shared" si="4"/>
        <v>-5813</v>
      </c>
      <c r="G44" s="79">
        <f t="shared" si="5"/>
        <v>1437</v>
      </c>
      <c r="H44" s="79">
        <f t="shared" si="6"/>
        <v>424</v>
      </c>
      <c r="I44" s="79">
        <f t="shared" si="7"/>
        <v>15157</v>
      </c>
      <c r="J44" s="79">
        <f t="shared" si="8"/>
        <v>8512</v>
      </c>
      <c r="K44" s="79">
        <f t="shared" si="9"/>
        <v>-897</v>
      </c>
      <c r="L44" s="79">
        <f>SUM(AK44:AL44)</f>
        <v>-21803</v>
      </c>
      <c r="M44" s="79">
        <f t="shared" si="10"/>
        <v>-50815</v>
      </c>
      <c r="N44" s="79">
        <f>SUM(N41:N43)</f>
        <v>-46531</v>
      </c>
      <c r="O44" s="79">
        <f>SUM(O41:O43)</f>
        <v>-89609</v>
      </c>
      <c r="P44" s="32"/>
      <c r="Q44" s="79">
        <v>-1776</v>
      </c>
      <c r="R44" s="79">
        <v>-2097</v>
      </c>
      <c r="S44" s="79">
        <v>115</v>
      </c>
      <c r="T44" s="79">
        <v>-4239</v>
      </c>
      <c r="U44" s="79">
        <v>-1788</v>
      </c>
      <c r="V44" s="79">
        <v>742</v>
      </c>
      <c r="W44" s="79">
        <v>902</v>
      </c>
      <c r="X44" s="79">
        <v>-391</v>
      </c>
      <c r="Y44" s="79">
        <v>-4618</v>
      </c>
      <c r="Z44" s="79">
        <v>-1195</v>
      </c>
      <c r="AA44" s="79">
        <v>2830</v>
      </c>
      <c r="AB44" s="79">
        <v>-1393</v>
      </c>
      <c r="AC44" s="79">
        <v>-2202</v>
      </c>
      <c r="AD44" s="79">
        <v>2626</v>
      </c>
      <c r="AE44" s="79">
        <v>6101</v>
      </c>
      <c r="AF44" s="79">
        <v>9056</v>
      </c>
      <c r="AG44" s="79">
        <v>9032</v>
      </c>
      <c r="AH44" s="79">
        <v>-520</v>
      </c>
      <c r="AI44" s="79">
        <v>-3428</v>
      </c>
      <c r="AJ44" s="79">
        <v>2531</v>
      </c>
      <c r="AK44" s="80">
        <v>-7309</v>
      </c>
      <c r="AL44" s="80">
        <v>-14494</v>
      </c>
      <c r="AM44" s="80">
        <f>SUM(AM41:AM43)</f>
        <v>-21683</v>
      </c>
      <c r="AN44" s="80">
        <v>-29132</v>
      </c>
      <c r="AO44" s="80">
        <f>SUM(AO41:AO43)</f>
        <v>-19421</v>
      </c>
      <c r="AP44" s="80">
        <f t="shared" si="11"/>
        <v>-27110</v>
      </c>
      <c r="AQ44" s="80">
        <f>SUM(AQ41:AQ43)</f>
        <v>-41711</v>
      </c>
      <c r="AR44" s="80">
        <f t="shared" si="12"/>
        <v>-47898</v>
      </c>
      <c r="AS44" s="80">
        <f>SUM(AS41:AS43)</f>
        <v>-34350</v>
      </c>
    </row>
    <row r="45" spans="1:45" x14ac:dyDescent="0.2">
      <c r="A45" s="52"/>
      <c r="B45" s="34"/>
      <c r="C45" s="34"/>
      <c r="D45" s="34"/>
      <c r="E45" s="34"/>
      <c r="F45" s="34"/>
      <c r="G45" s="34"/>
      <c r="H45" s="34"/>
      <c r="I45" s="34"/>
      <c r="J45" s="34"/>
      <c r="K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Q45" s="6"/>
      <c r="AS45" s="6"/>
    </row>
    <row r="46" spans="1:45" x14ac:dyDescent="0.2">
      <c r="A46" s="5" t="s">
        <v>250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Q46" s="6"/>
      <c r="AS46" s="6"/>
    </row>
    <row r="47" spans="1:45" x14ac:dyDescent="0.2">
      <c r="A47" s="6" t="s">
        <v>251</v>
      </c>
      <c r="B47" s="34">
        <f t="shared" ref="B47:B58" si="27">SUM(Q47:R47)</f>
        <v>117</v>
      </c>
      <c r="C47" s="34">
        <f t="shared" ref="C47:C58" si="28">SUM(S47:T47)</f>
        <v>71</v>
      </c>
      <c r="D47" s="34">
        <f t="shared" ref="D47:D58" si="29">SUM(U47:V47)</f>
        <v>15</v>
      </c>
      <c r="E47" s="34">
        <f t="shared" ref="E47:E58" si="30">SUM(W47:X47)</f>
        <v>66</v>
      </c>
      <c r="F47" s="34">
        <f t="shared" ref="F47:F58" si="31">SUM(Y47:Z47)</f>
        <v>188</v>
      </c>
      <c r="G47" s="34">
        <f t="shared" ref="G47:G58" si="32">SUM(AA47:AB47)</f>
        <v>93</v>
      </c>
      <c r="H47" s="34">
        <f t="shared" ref="H47:H58" si="33">SUM(AC47:AD47)</f>
        <v>294</v>
      </c>
      <c r="I47" s="34">
        <f t="shared" ref="I47:I58" si="34">SUM(AE47:AF47)</f>
        <v>57</v>
      </c>
      <c r="J47" s="34">
        <f t="shared" ref="J47:J58" si="35">SUM(AG47:AH47)</f>
        <v>346</v>
      </c>
      <c r="K47" s="34">
        <f t="shared" ref="K47:K58" si="36">SUM(AI47:AJ47)</f>
        <v>265</v>
      </c>
      <c r="L47" s="34">
        <f>SUM(AK47:AL47)</f>
        <v>266</v>
      </c>
      <c r="M47" s="34">
        <f t="shared" si="10"/>
        <v>10</v>
      </c>
      <c r="N47" s="34">
        <v>413</v>
      </c>
      <c r="O47" s="34">
        <f>996</f>
        <v>996</v>
      </c>
      <c r="Q47" s="34">
        <v>98</v>
      </c>
      <c r="R47" s="34">
        <v>19</v>
      </c>
      <c r="S47" s="34">
        <v>41</v>
      </c>
      <c r="T47" s="34">
        <v>30</v>
      </c>
      <c r="U47" s="34">
        <v>57</v>
      </c>
      <c r="V47" s="34">
        <v>-42</v>
      </c>
      <c r="W47" s="34">
        <v>52</v>
      </c>
      <c r="X47" s="34">
        <v>14</v>
      </c>
      <c r="Y47" s="34">
        <v>29</v>
      </c>
      <c r="Z47" s="34">
        <v>159</v>
      </c>
      <c r="AA47" s="34">
        <v>45</v>
      </c>
      <c r="AB47" s="34">
        <v>48</v>
      </c>
      <c r="AC47" s="34">
        <v>221</v>
      </c>
      <c r="AD47" s="34">
        <v>73</v>
      </c>
      <c r="AE47" s="34">
        <v>6</v>
      </c>
      <c r="AF47" s="34">
        <v>51</v>
      </c>
      <c r="AG47" s="34">
        <v>51</v>
      </c>
      <c r="AH47" s="34">
        <v>295</v>
      </c>
      <c r="AI47" s="34">
        <v>92</v>
      </c>
      <c r="AJ47" s="34">
        <v>173</v>
      </c>
      <c r="AK47" s="34">
        <v>195</v>
      </c>
      <c r="AL47" s="34">
        <v>71</v>
      </c>
      <c r="AM47" s="34">
        <v>31</v>
      </c>
      <c r="AN47" s="34">
        <v>-21</v>
      </c>
      <c r="AO47" s="34">
        <v>209</v>
      </c>
      <c r="AP47" s="34">
        <f t="shared" si="11"/>
        <v>204</v>
      </c>
      <c r="AQ47" s="34">
        <f>677</f>
        <v>677</v>
      </c>
      <c r="AR47" s="34">
        <f t="shared" si="12"/>
        <v>319</v>
      </c>
      <c r="AS47" s="34">
        <f>594</f>
        <v>594</v>
      </c>
    </row>
    <row r="48" spans="1:45" x14ac:dyDescent="0.2">
      <c r="A48" s="6" t="s">
        <v>252</v>
      </c>
      <c r="B48" s="34">
        <f t="shared" si="27"/>
        <v>0</v>
      </c>
      <c r="C48" s="34">
        <f t="shared" si="28"/>
        <v>0</v>
      </c>
      <c r="D48" s="34">
        <f t="shared" si="29"/>
        <v>0</v>
      </c>
      <c r="E48" s="34">
        <f t="shared" si="30"/>
        <v>0</v>
      </c>
      <c r="F48" s="34">
        <f t="shared" si="31"/>
        <v>0</v>
      </c>
      <c r="G48" s="34">
        <f t="shared" si="32"/>
        <v>0</v>
      </c>
      <c r="H48" s="34">
        <f t="shared" si="33"/>
        <v>232</v>
      </c>
      <c r="I48" s="34">
        <f t="shared" si="34"/>
        <v>8</v>
      </c>
      <c r="J48" s="34">
        <f t="shared" si="35"/>
        <v>76</v>
      </c>
      <c r="K48" s="34">
        <f t="shared" si="36"/>
        <v>440</v>
      </c>
      <c r="L48" s="34">
        <f t="shared" ref="L48:L58" si="37">SUM(AK48:AL48)</f>
        <v>474</v>
      </c>
      <c r="M48" s="34">
        <f t="shared" si="10"/>
        <v>12</v>
      </c>
      <c r="N48" s="34">
        <v>8</v>
      </c>
      <c r="O48" s="34">
        <f>65</f>
        <v>65</v>
      </c>
      <c r="Q48" s="34"/>
      <c r="R48" s="34">
        <v>0</v>
      </c>
      <c r="S48" s="34"/>
      <c r="T48" s="34">
        <v>0</v>
      </c>
      <c r="U48" s="34"/>
      <c r="V48" s="34">
        <v>0</v>
      </c>
      <c r="W48" s="34"/>
      <c r="X48" s="34">
        <v>0</v>
      </c>
      <c r="Y48" s="34"/>
      <c r="Z48" s="34">
        <v>0</v>
      </c>
      <c r="AA48" s="34">
        <v>0</v>
      </c>
      <c r="AB48" s="34">
        <v>0</v>
      </c>
      <c r="AC48" s="34">
        <v>224</v>
      </c>
      <c r="AD48" s="34">
        <v>8</v>
      </c>
      <c r="AE48" s="34">
        <v>8</v>
      </c>
      <c r="AF48" s="34">
        <v>0</v>
      </c>
      <c r="AG48" s="34">
        <v>0</v>
      </c>
      <c r="AH48" s="34">
        <v>76</v>
      </c>
      <c r="AI48" s="34">
        <v>62</v>
      </c>
      <c r="AJ48" s="34">
        <v>378</v>
      </c>
      <c r="AK48" s="34">
        <v>296</v>
      </c>
      <c r="AL48" s="34">
        <v>178</v>
      </c>
      <c r="AM48" s="34">
        <v>6</v>
      </c>
      <c r="AN48" s="34">
        <v>6</v>
      </c>
      <c r="AO48" s="34">
        <v>6</v>
      </c>
      <c r="AP48" s="34">
        <f t="shared" si="11"/>
        <v>2</v>
      </c>
      <c r="AQ48" s="34">
        <f>43</f>
        <v>43</v>
      </c>
      <c r="AR48" s="34">
        <f t="shared" si="12"/>
        <v>22</v>
      </c>
      <c r="AS48" s="34">
        <f>3</f>
        <v>3</v>
      </c>
    </row>
    <row r="49" spans="1:45" x14ac:dyDescent="0.2">
      <c r="A49" s="6" t="s">
        <v>253</v>
      </c>
      <c r="B49" s="34">
        <f t="shared" si="27"/>
        <v>140</v>
      </c>
      <c r="C49" s="34">
        <f t="shared" si="28"/>
        <v>552</v>
      </c>
      <c r="D49" s="34">
        <f t="shared" si="29"/>
        <v>611</v>
      </c>
      <c r="E49" s="34">
        <f t="shared" si="30"/>
        <v>823</v>
      </c>
      <c r="F49" s="34">
        <f t="shared" si="31"/>
        <v>1311</v>
      </c>
      <c r="G49" s="34">
        <f t="shared" si="32"/>
        <v>1153</v>
      </c>
      <c r="H49" s="34">
        <f t="shared" si="33"/>
        <v>918</v>
      </c>
      <c r="I49" s="34">
        <f t="shared" si="34"/>
        <v>1125</v>
      </c>
      <c r="J49" s="34">
        <f t="shared" si="35"/>
        <v>2167</v>
      </c>
      <c r="K49" s="34">
        <f t="shared" si="36"/>
        <v>1103</v>
      </c>
      <c r="L49" s="34">
        <f t="shared" si="37"/>
        <v>1763</v>
      </c>
      <c r="M49" s="34">
        <f t="shared" si="10"/>
        <v>1211</v>
      </c>
      <c r="N49" s="34">
        <v>1952</v>
      </c>
      <c r="O49" s="34">
        <f>1519</f>
        <v>1519</v>
      </c>
      <c r="Q49" s="34">
        <v>69</v>
      </c>
      <c r="R49" s="34">
        <v>71</v>
      </c>
      <c r="S49" s="34">
        <v>251</v>
      </c>
      <c r="T49" s="34">
        <v>301</v>
      </c>
      <c r="U49" s="34">
        <v>351</v>
      </c>
      <c r="V49" s="34">
        <v>260</v>
      </c>
      <c r="W49" s="34">
        <v>342</v>
      </c>
      <c r="X49" s="34">
        <v>481</v>
      </c>
      <c r="Y49" s="34">
        <v>802</v>
      </c>
      <c r="Z49" s="34">
        <v>509</v>
      </c>
      <c r="AA49" s="34">
        <v>580</v>
      </c>
      <c r="AB49" s="34">
        <v>573</v>
      </c>
      <c r="AC49" s="34">
        <v>410</v>
      </c>
      <c r="AD49" s="34">
        <v>508</v>
      </c>
      <c r="AE49" s="34">
        <v>431</v>
      </c>
      <c r="AF49" s="34">
        <v>694</v>
      </c>
      <c r="AG49" s="34">
        <v>1238</v>
      </c>
      <c r="AH49" s="34">
        <v>929</v>
      </c>
      <c r="AI49" s="34">
        <v>723</v>
      </c>
      <c r="AJ49" s="34">
        <v>380</v>
      </c>
      <c r="AK49" s="34">
        <v>496</v>
      </c>
      <c r="AL49" s="34">
        <v>1267</v>
      </c>
      <c r="AM49" s="34">
        <v>680</v>
      </c>
      <c r="AN49" s="34">
        <v>531</v>
      </c>
      <c r="AO49" s="34">
        <v>919</v>
      </c>
      <c r="AP49" s="34">
        <f t="shared" si="11"/>
        <v>1033</v>
      </c>
      <c r="AQ49" s="34">
        <f>649</f>
        <v>649</v>
      </c>
      <c r="AR49" s="34">
        <f t="shared" si="12"/>
        <v>870</v>
      </c>
      <c r="AS49" s="34">
        <f>883</f>
        <v>883</v>
      </c>
    </row>
    <row r="50" spans="1:45" x14ac:dyDescent="0.2">
      <c r="A50" s="6" t="s">
        <v>254</v>
      </c>
      <c r="B50" s="34">
        <f t="shared" si="27"/>
        <v>-726</v>
      </c>
      <c r="C50" s="34">
        <f t="shared" si="28"/>
        <v>-844</v>
      </c>
      <c r="D50" s="34">
        <f t="shared" si="29"/>
        <v>-431</v>
      </c>
      <c r="E50" s="34">
        <f t="shared" si="30"/>
        <v>-653</v>
      </c>
      <c r="F50" s="34">
        <f t="shared" si="31"/>
        <v>-369</v>
      </c>
      <c r="G50" s="34">
        <f t="shared" si="32"/>
        <v>-711</v>
      </c>
      <c r="H50" s="34">
        <f t="shared" si="33"/>
        <v>-707</v>
      </c>
      <c r="I50" s="34">
        <f t="shared" si="34"/>
        <v>-550</v>
      </c>
      <c r="J50" s="34">
        <f t="shared" si="35"/>
        <v>-496</v>
      </c>
      <c r="K50" s="34">
        <f t="shared" si="36"/>
        <v>-396</v>
      </c>
      <c r="L50" s="34">
        <f t="shared" si="37"/>
        <v>-560</v>
      </c>
      <c r="M50" s="34">
        <f t="shared" si="10"/>
        <v>-1201</v>
      </c>
      <c r="N50" s="34">
        <v>-2146</v>
      </c>
      <c r="O50" s="34">
        <f>-6467</f>
        <v>-6467</v>
      </c>
      <c r="Q50" s="34">
        <v>-191</v>
      </c>
      <c r="R50" s="34">
        <v>-535</v>
      </c>
      <c r="S50" s="34">
        <v>-297</v>
      </c>
      <c r="T50" s="34">
        <v>-547</v>
      </c>
      <c r="U50" s="34">
        <v>-160</v>
      </c>
      <c r="V50" s="34">
        <v>-271</v>
      </c>
      <c r="W50" s="34">
        <v>-364</v>
      </c>
      <c r="X50" s="34">
        <v>-289</v>
      </c>
      <c r="Y50" s="34">
        <v>-95</v>
      </c>
      <c r="Z50" s="34">
        <v>-274</v>
      </c>
      <c r="AA50" s="34">
        <v>-218</v>
      </c>
      <c r="AB50" s="34">
        <v>-493</v>
      </c>
      <c r="AC50" s="34">
        <v>-365</v>
      </c>
      <c r="AD50" s="34">
        <v>-342</v>
      </c>
      <c r="AE50" s="34">
        <v>-266</v>
      </c>
      <c r="AF50" s="34">
        <v>-284</v>
      </c>
      <c r="AG50" s="34">
        <v>-335</v>
      </c>
      <c r="AH50" s="34">
        <v>-161</v>
      </c>
      <c r="AI50" s="34">
        <v>-306</v>
      </c>
      <c r="AJ50" s="34">
        <v>-90</v>
      </c>
      <c r="AK50" s="34">
        <v>-236</v>
      </c>
      <c r="AL50" s="34">
        <v>-324</v>
      </c>
      <c r="AM50" s="34">
        <v>-331</v>
      </c>
      <c r="AN50" s="34">
        <v>-870</v>
      </c>
      <c r="AO50" s="34">
        <v>-981</v>
      </c>
      <c r="AP50" s="34">
        <f t="shared" si="11"/>
        <v>-1165</v>
      </c>
      <c r="AQ50" s="34">
        <f>-1640</f>
        <v>-1640</v>
      </c>
      <c r="AR50" s="34">
        <f t="shared" si="12"/>
        <v>-4827</v>
      </c>
      <c r="AS50" s="34">
        <v>-2424</v>
      </c>
    </row>
    <row r="51" spans="1:45" x14ac:dyDescent="0.2">
      <c r="A51" s="6" t="s">
        <v>255</v>
      </c>
      <c r="B51" s="34">
        <f t="shared" si="27"/>
        <v>-253</v>
      </c>
      <c r="C51" s="34">
        <f t="shared" si="28"/>
        <v>-371</v>
      </c>
      <c r="D51" s="34">
        <f t="shared" si="29"/>
        <v>-55</v>
      </c>
      <c r="E51" s="34">
        <f t="shared" si="30"/>
        <v>-178</v>
      </c>
      <c r="F51" s="34">
        <f t="shared" si="31"/>
        <v>-123</v>
      </c>
      <c r="G51" s="34">
        <f t="shared" si="32"/>
        <v>-435</v>
      </c>
      <c r="H51" s="34">
        <f t="shared" si="33"/>
        <v>-60</v>
      </c>
      <c r="I51" s="34">
        <f t="shared" si="34"/>
        <v>-91</v>
      </c>
      <c r="J51" s="34">
        <f t="shared" si="35"/>
        <v>48</v>
      </c>
      <c r="K51" s="34">
        <f t="shared" si="36"/>
        <v>-216</v>
      </c>
      <c r="L51" s="34">
        <f t="shared" si="37"/>
        <v>-823</v>
      </c>
      <c r="M51" s="34">
        <f t="shared" si="10"/>
        <v>-13</v>
      </c>
      <c r="N51" s="34">
        <v>-165</v>
      </c>
      <c r="O51" s="34">
        <f>-682</f>
        <v>-682</v>
      </c>
      <c r="Q51" s="34">
        <v>-61</v>
      </c>
      <c r="R51" s="34">
        <v>-192</v>
      </c>
      <c r="S51" s="34">
        <v>-11</v>
      </c>
      <c r="T51" s="34">
        <v>-360</v>
      </c>
      <c r="U51" s="34">
        <v>-37</v>
      </c>
      <c r="V51" s="34">
        <v>-18</v>
      </c>
      <c r="W51" s="34">
        <v>-16</v>
      </c>
      <c r="X51" s="34">
        <v>-162</v>
      </c>
      <c r="Y51" s="34">
        <v>-4</v>
      </c>
      <c r="Z51" s="34">
        <v>-119</v>
      </c>
      <c r="AA51" s="34">
        <v>-41</v>
      </c>
      <c r="AB51" s="34">
        <v>-394</v>
      </c>
      <c r="AC51" s="34">
        <v>-27</v>
      </c>
      <c r="AD51" s="34">
        <v>-33</v>
      </c>
      <c r="AE51" s="34">
        <v>-19</v>
      </c>
      <c r="AF51" s="34">
        <v>-72</v>
      </c>
      <c r="AG51" s="34">
        <v>-2</v>
      </c>
      <c r="AH51" s="34">
        <v>50</v>
      </c>
      <c r="AI51" s="34">
        <v>-8</v>
      </c>
      <c r="AJ51" s="34">
        <v>-208</v>
      </c>
      <c r="AK51" s="34">
        <v>-1</v>
      </c>
      <c r="AL51" s="34">
        <v>-822</v>
      </c>
      <c r="AM51" s="34">
        <v>31</v>
      </c>
      <c r="AN51" s="34">
        <v>-44</v>
      </c>
      <c r="AO51" s="34">
        <f>0</f>
        <v>0</v>
      </c>
      <c r="AP51" s="34">
        <f t="shared" si="11"/>
        <v>-165</v>
      </c>
      <c r="AQ51" s="34">
        <f>-370</f>
        <v>-370</v>
      </c>
      <c r="AR51" s="34">
        <f t="shared" si="12"/>
        <v>-312</v>
      </c>
      <c r="AS51" s="34">
        <f>-2911</f>
        <v>-2911</v>
      </c>
    </row>
    <row r="52" spans="1:45" x14ac:dyDescent="0.2">
      <c r="A52" s="6" t="s">
        <v>256</v>
      </c>
      <c r="B52" s="34">
        <f t="shared" si="27"/>
        <v>234</v>
      </c>
      <c r="C52" s="34">
        <f t="shared" si="28"/>
        <v>363</v>
      </c>
      <c r="D52" s="34">
        <f t="shared" si="29"/>
        <v>85</v>
      </c>
      <c r="E52" s="34">
        <f t="shared" si="30"/>
        <v>174</v>
      </c>
      <c r="F52" s="34">
        <f t="shared" si="31"/>
        <v>66</v>
      </c>
      <c r="G52" s="34">
        <f t="shared" si="32"/>
        <v>25</v>
      </c>
      <c r="H52" s="34">
        <f t="shared" si="33"/>
        <v>93</v>
      </c>
      <c r="I52" s="34">
        <f t="shared" si="34"/>
        <v>6</v>
      </c>
      <c r="J52" s="34">
        <f t="shared" si="35"/>
        <v>0</v>
      </c>
      <c r="K52" s="34">
        <f t="shared" si="36"/>
        <v>2</v>
      </c>
      <c r="L52" s="34">
        <f t="shared" si="37"/>
        <v>7</v>
      </c>
      <c r="M52" s="34">
        <f t="shared" si="10"/>
        <v>64</v>
      </c>
      <c r="N52" s="34">
        <v>173</v>
      </c>
      <c r="O52" s="34">
        <f>1</f>
        <v>1</v>
      </c>
      <c r="Q52" s="34">
        <v>53</v>
      </c>
      <c r="R52" s="34">
        <v>181</v>
      </c>
      <c r="S52" s="34">
        <v>23</v>
      </c>
      <c r="T52" s="34">
        <v>340</v>
      </c>
      <c r="U52" s="34">
        <v>17</v>
      </c>
      <c r="V52" s="34">
        <v>68</v>
      </c>
      <c r="W52" s="34">
        <v>79</v>
      </c>
      <c r="X52" s="34">
        <v>95</v>
      </c>
      <c r="Y52" s="34">
        <v>21</v>
      </c>
      <c r="Z52" s="34">
        <v>45</v>
      </c>
      <c r="AA52" s="34">
        <v>17</v>
      </c>
      <c r="AB52" s="34">
        <v>8</v>
      </c>
      <c r="AC52" s="34">
        <v>317</v>
      </c>
      <c r="AD52" s="34">
        <v>-224</v>
      </c>
      <c r="AE52" s="34">
        <v>34</v>
      </c>
      <c r="AF52" s="34">
        <v>-28</v>
      </c>
      <c r="AG52" s="34">
        <v>18</v>
      </c>
      <c r="AH52" s="34">
        <v>-18</v>
      </c>
      <c r="AI52" s="34">
        <v>29</v>
      </c>
      <c r="AJ52" s="34">
        <v>-27</v>
      </c>
      <c r="AK52" s="34">
        <v>72</v>
      </c>
      <c r="AL52" s="34">
        <v>-65</v>
      </c>
      <c r="AM52" s="34">
        <v>-30</v>
      </c>
      <c r="AN52" s="34">
        <v>94</v>
      </c>
      <c r="AO52" s="34">
        <f>15</f>
        <v>15</v>
      </c>
      <c r="AP52" s="34">
        <f t="shared" si="11"/>
        <v>158</v>
      </c>
      <c r="AQ52" s="34">
        <f>0</f>
        <v>0</v>
      </c>
      <c r="AR52" s="34">
        <f t="shared" si="12"/>
        <v>1</v>
      </c>
      <c r="AS52" s="34">
        <f>2703</f>
        <v>2703</v>
      </c>
    </row>
    <row r="53" spans="1:45" x14ac:dyDescent="0.2">
      <c r="A53" s="6" t="s">
        <v>257</v>
      </c>
      <c r="B53" s="34">
        <f t="shared" si="27"/>
        <v>-17</v>
      </c>
      <c r="C53" s="34">
        <f t="shared" si="28"/>
        <v>-8</v>
      </c>
      <c r="D53" s="34">
        <f t="shared" si="29"/>
        <v>-20</v>
      </c>
      <c r="E53" s="34">
        <f t="shared" si="30"/>
        <v>7</v>
      </c>
      <c r="F53" s="34">
        <f t="shared" si="31"/>
        <v>0</v>
      </c>
      <c r="G53" s="34">
        <f t="shared" si="32"/>
        <v>0</v>
      </c>
      <c r="H53" s="34">
        <f t="shared" si="33"/>
        <v>0</v>
      </c>
      <c r="I53" s="34">
        <f t="shared" si="34"/>
        <v>0</v>
      </c>
      <c r="J53" s="34">
        <f t="shared" si="35"/>
        <v>19</v>
      </c>
      <c r="K53" s="34">
        <f t="shared" si="36"/>
        <v>0</v>
      </c>
      <c r="L53" s="34">
        <f t="shared" si="37"/>
        <v>32</v>
      </c>
      <c r="M53" s="34">
        <f t="shared" si="10"/>
        <v>0</v>
      </c>
      <c r="N53" s="34">
        <v>1</v>
      </c>
      <c r="O53" s="34">
        <f>0</f>
        <v>0</v>
      </c>
      <c r="Q53" s="34">
        <v>1</v>
      </c>
      <c r="R53" s="34">
        <v>-18</v>
      </c>
      <c r="S53" s="34">
        <v>0</v>
      </c>
      <c r="T53" s="34">
        <v>-8</v>
      </c>
      <c r="U53" s="34">
        <v>-7</v>
      </c>
      <c r="V53" s="34">
        <v>-13</v>
      </c>
      <c r="W53" s="34">
        <v>0</v>
      </c>
      <c r="X53" s="34">
        <v>7</v>
      </c>
      <c r="Y53" s="34">
        <v>-3</v>
      </c>
      <c r="Z53" s="34">
        <v>3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19</v>
      </c>
      <c r="AI53" s="34">
        <v>0</v>
      </c>
      <c r="AJ53" s="34">
        <v>0</v>
      </c>
      <c r="AK53" s="34">
        <v>28</v>
      </c>
      <c r="AL53" s="34">
        <v>4</v>
      </c>
      <c r="AM53" s="34">
        <v>0</v>
      </c>
      <c r="AN53" s="34">
        <v>0</v>
      </c>
      <c r="AO53" s="34">
        <v>0</v>
      </c>
      <c r="AP53" s="34">
        <f t="shared" si="11"/>
        <v>1</v>
      </c>
      <c r="AQ53" s="34">
        <f>0</f>
        <v>0</v>
      </c>
      <c r="AR53" s="34">
        <f t="shared" si="12"/>
        <v>0</v>
      </c>
      <c r="AS53" s="34">
        <f>0</f>
        <v>0</v>
      </c>
    </row>
    <row r="54" spans="1:45" x14ac:dyDescent="0.2">
      <c r="A54" s="6" t="s">
        <v>308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/>
      <c r="J54" s="34">
        <v>0</v>
      </c>
      <c r="K54" s="34">
        <v>0</v>
      </c>
      <c r="L54" s="34">
        <f t="shared" si="37"/>
        <v>-389</v>
      </c>
      <c r="M54" s="34">
        <f t="shared" si="10"/>
        <v>-247</v>
      </c>
      <c r="N54" s="34">
        <v>-9014</v>
      </c>
      <c r="O54" s="34">
        <f>0</f>
        <v>0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>
        <v>-389</v>
      </c>
      <c r="AM54" s="34">
        <v>-156</v>
      </c>
      <c r="AN54" s="34">
        <v>-91</v>
      </c>
      <c r="AO54" s="34">
        <v>0</v>
      </c>
      <c r="AP54" s="34">
        <f t="shared" si="11"/>
        <v>-9014</v>
      </c>
      <c r="AQ54" s="34">
        <f>0</f>
        <v>0</v>
      </c>
      <c r="AR54" s="34">
        <f t="shared" si="12"/>
        <v>0</v>
      </c>
      <c r="AS54" s="34">
        <f>0</f>
        <v>0</v>
      </c>
    </row>
    <row r="55" spans="1:45" x14ac:dyDescent="0.2">
      <c r="A55" s="6" t="s">
        <v>258</v>
      </c>
      <c r="B55" s="34">
        <f t="shared" si="27"/>
        <v>0</v>
      </c>
      <c r="C55" s="34">
        <f t="shared" si="28"/>
        <v>0</v>
      </c>
      <c r="D55" s="34">
        <f t="shared" si="29"/>
        <v>10</v>
      </c>
      <c r="E55" s="34">
        <f t="shared" si="30"/>
        <v>0</v>
      </c>
      <c r="F55" s="34">
        <f t="shared" si="31"/>
        <v>0</v>
      </c>
      <c r="G55" s="34">
        <f t="shared" si="32"/>
        <v>0</v>
      </c>
      <c r="H55" s="34">
        <f t="shared" si="33"/>
        <v>0</v>
      </c>
      <c r="I55" s="34">
        <f t="shared" si="34"/>
        <v>0</v>
      </c>
      <c r="J55" s="34">
        <f t="shared" si="35"/>
        <v>-10481</v>
      </c>
      <c r="K55" s="34">
        <f t="shared" si="36"/>
        <v>0</v>
      </c>
      <c r="L55" s="34">
        <f t="shared" si="37"/>
        <v>0</v>
      </c>
      <c r="M55" s="34">
        <f t="shared" si="10"/>
        <v>536</v>
      </c>
      <c r="N55" s="34">
        <v>0</v>
      </c>
      <c r="O55" s="34">
        <f>0</f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10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-10481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533</v>
      </c>
      <c r="AN55" s="34">
        <v>3</v>
      </c>
      <c r="AO55" s="34">
        <v>0</v>
      </c>
      <c r="AP55" s="34">
        <f t="shared" si="11"/>
        <v>0</v>
      </c>
      <c r="AQ55" s="34">
        <f>0</f>
        <v>0</v>
      </c>
      <c r="AR55" s="34">
        <f t="shared" si="12"/>
        <v>0</v>
      </c>
      <c r="AS55" s="34">
        <f>0</f>
        <v>0</v>
      </c>
    </row>
    <row r="56" spans="1:45" x14ac:dyDescent="0.2">
      <c r="A56" s="6" t="s">
        <v>259</v>
      </c>
      <c r="B56" s="34">
        <f t="shared" si="27"/>
        <v>-1027</v>
      </c>
      <c r="C56" s="34">
        <f t="shared" si="28"/>
        <v>-5506</v>
      </c>
      <c r="D56" s="34">
        <f t="shared" si="29"/>
        <v>0</v>
      </c>
      <c r="E56" s="34">
        <f t="shared" si="30"/>
        <v>0</v>
      </c>
      <c r="F56" s="34">
        <f t="shared" si="31"/>
        <v>0</v>
      </c>
      <c r="G56" s="34">
        <f t="shared" si="32"/>
        <v>-265</v>
      </c>
      <c r="H56" s="34">
        <f t="shared" si="33"/>
        <v>-263</v>
      </c>
      <c r="I56" s="34">
        <f t="shared" si="34"/>
        <v>-112</v>
      </c>
      <c r="J56" s="34">
        <f t="shared" si="35"/>
        <v>-75</v>
      </c>
      <c r="K56" s="34">
        <f t="shared" si="36"/>
        <v>-139</v>
      </c>
      <c r="L56" s="34">
        <f t="shared" si="37"/>
        <v>-4</v>
      </c>
      <c r="M56" s="34">
        <f t="shared" si="10"/>
        <v>-1</v>
      </c>
      <c r="N56" s="34">
        <v>0</v>
      </c>
      <c r="O56" s="34">
        <f>0</f>
        <v>0</v>
      </c>
      <c r="Q56" s="34">
        <v>-493</v>
      </c>
      <c r="R56" s="34">
        <v>-534</v>
      </c>
      <c r="S56" s="34">
        <v>-1677</v>
      </c>
      <c r="T56" s="34">
        <v>-3829</v>
      </c>
      <c r="U56" s="34">
        <v>0</v>
      </c>
      <c r="V56" s="34">
        <v>0</v>
      </c>
      <c r="W56" s="34">
        <v>-964</v>
      </c>
      <c r="X56" s="34">
        <v>964</v>
      </c>
      <c r="Y56" s="34">
        <v>-1182</v>
      </c>
      <c r="Z56" s="34">
        <v>1182</v>
      </c>
      <c r="AA56" s="34">
        <v>-128</v>
      </c>
      <c r="AB56" s="34">
        <v>-137</v>
      </c>
      <c r="AC56" s="34">
        <v>-377</v>
      </c>
      <c r="AD56" s="34">
        <v>114</v>
      </c>
      <c r="AE56" s="34">
        <v>-190</v>
      </c>
      <c r="AF56" s="34">
        <v>78</v>
      </c>
      <c r="AG56" s="34">
        <v>-826</v>
      </c>
      <c r="AH56" s="34">
        <v>751</v>
      </c>
      <c r="AI56" s="34">
        <v>-104</v>
      </c>
      <c r="AJ56" s="34">
        <v>-35</v>
      </c>
      <c r="AK56" s="34">
        <v>-6</v>
      </c>
      <c r="AL56" s="34">
        <v>2</v>
      </c>
      <c r="AM56" s="34">
        <v>-3</v>
      </c>
      <c r="AN56" s="34">
        <v>2</v>
      </c>
      <c r="AO56" s="34">
        <v>0</v>
      </c>
      <c r="AP56" s="34">
        <f t="shared" si="11"/>
        <v>0</v>
      </c>
      <c r="AQ56" s="34">
        <f>0</f>
        <v>0</v>
      </c>
      <c r="AR56" s="34">
        <f t="shared" si="12"/>
        <v>0</v>
      </c>
      <c r="AS56" s="34">
        <f>0</f>
        <v>0</v>
      </c>
    </row>
    <row r="57" spans="1:45" x14ac:dyDescent="0.2">
      <c r="A57" s="6" t="s">
        <v>260</v>
      </c>
      <c r="B57" s="34">
        <f t="shared" si="27"/>
        <v>0</v>
      </c>
      <c r="C57" s="34">
        <f t="shared" si="28"/>
        <v>0</v>
      </c>
      <c r="D57" s="34">
        <f t="shared" si="29"/>
        <v>1606</v>
      </c>
      <c r="E57" s="34">
        <f t="shared" si="30"/>
        <v>3038</v>
      </c>
      <c r="F57" s="34">
        <f t="shared" si="31"/>
        <v>1155</v>
      </c>
      <c r="G57" s="34">
        <f t="shared" si="32"/>
        <v>507</v>
      </c>
      <c r="H57" s="34">
        <f t="shared" si="33"/>
        <v>385</v>
      </c>
      <c r="I57" s="34">
        <f t="shared" si="34"/>
        <v>153</v>
      </c>
      <c r="J57" s="34">
        <f t="shared" si="35"/>
        <v>1359</v>
      </c>
      <c r="K57" s="34">
        <f t="shared" si="36"/>
        <v>105</v>
      </c>
      <c r="L57" s="34">
        <f t="shared" si="37"/>
        <v>149</v>
      </c>
      <c r="M57" s="34">
        <f t="shared" si="10"/>
        <v>45</v>
      </c>
      <c r="N57" s="34">
        <f t="shared" si="10"/>
        <v>0</v>
      </c>
      <c r="O57" s="34">
        <f>0</f>
        <v>0</v>
      </c>
      <c r="Q57" s="34">
        <v>0</v>
      </c>
      <c r="R57" s="34">
        <v>0</v>
      </c>
      <c r="S57" s="34">
        <v>0</v>
      </c>
      <c r="T57" s="34">
        <v>0</v>
      </c>
      <c r="U57" s="34">
        <v>2850</v>
      </c>
      <c r="V57" s="34">
        <v>-1244</v>
      </c>
      <c r="W57" s="34">
        <v>0</v>
      </c>
      <c r="X57" s="34">
        <v>3038</v>
      </c>
      <c r="Y57" s="34">
        <v>584</v>
      </c>
      <c r="Z57" s="34">
        <v>571</v>
      </c>
      <c r="AA57" s="34">
        <v>15</v>
      </c>
      <c r="AB57" s="34">
        <v>492</v>
      </c>
      <c r="AC57" s="34">
        <v>40</v>
      </c>
      <c r="AD57" s="34">
        <v>345</v>
      </c>
      <c r="AE57" s="34">
        <v>153</v>
      </c>
      <c r="AF57" s="34">
        <v>0</v>
      </c>
      <c r="AG57" s="34">
        <v>885</v>
      </c>
      <c r="AH57" s="34">
        <v>474</v>
      </c>
      <c r="AI57" s="34">
        <v>105</v>
      </c>
      <c r="AJ57" s="34">
        <v>0</v>
      </c>
      <c r="AK57" s="34">
        <v>125</v>
      </c>
      <c r="AL57" s="34">
        <v>24</v>
      </c>
      <c r="AM57" s="34">
        <v>45</v>
      </c>
      <c r="AN57" s="34">
        <v>0</v>
      </c>
      <c r="AO57" s="34">
        <v>0</v>
      </c>
      <c r="AP57" s="34">
        <f t="shared" si="11"/>
        <v>0</v>
      </c>
      <c r="AQ57" s="34">
        <f>0</f>
        <v>0</v>
      </c>
      <c r="AR57" s="34">
        <f t="shared" si="12"/>
        <v>0</v>
      </c>
      <c r="AS57" s="34">
        <f>-23</f>
        <v>-23</v>
      </c>
    </row>
    <row r="58" spans="1:45" x14ac:dyDescent="0.2">
      <c r="A58" s="51" t="s">
        <v>261</v>
      </c>
      <c r="B58" s="79">
        <f t="shared" si="27"/>
        <v>-1532</v>
      </c>
      <c r="C58" s="79">
        <f t="shared" si="28"/>
        <v>-5743</v>
      </c>
      <c r="D58" s="79">
        <f t="shared" si="29"/>
        <v>1821</v>
      </c>
      <c r="E58" s="79">
        <f t="shared" si="30"/>
        <v>3277</v>
      </c>
      <c r="F58" s="79">
        <f t="shared" si="31"/>
        <v>2228</v>
      </c>
      <c r="G58" s="79">
        <f t="shared" si="32"/>
        <v>367</v>
      </c>
      <c r="H58" s="79">
        <f t="shared" si="33"/>
        <v>892</v>
      </c>
      <c r="I58" s="79">
        <f t="shared" si="34"/>
        <v>596</v>
      </c>
      <c r="J58" s="79">
        <f t="shared" si="35"/>
        <v>-7037</v>
      </c>
      <c r="K58" s="79">
        <f t="shared" si="36"/>
        <v>1164</v>
      </c>
      <c r="L58" s="79">
        <f t="shared" si="37"/>
        <v>915</v>
      </c>
      <c r="M58" s="79">
        <f t="shared" si="10"/>
        <v>416</v>
      </c>
      <c r="N58" s="79">
        <f>SUM(N47:N57)</f>
        <v>-8778</v>
      </c>
      <c r="O58" s="79">
        <f>SUM(O47:O57)</f>
        <v>-4568</v>
      </c>
      <c r="P58" s="32"/>
      <c r="Q58" s="79">
        <v>-524</v>
      </c>
      <c r="R58" s="79">
        <v>-1008</v>
      </c>
      <c r="S58" s="79">
        <v>-1670</v>
      </c>
      <c r="T58" s="79">
        <v>-4073</v>
      </c>
      <c r="U58" s="79">
        <v>3071</v>
      </c>
      <c r="V58" s="79">
        <v>-1250</v>
      </c>
      <c r="W58" s="79">
        <v>-871</v>
      </c>
      <c r="X58" s="79">
        <v>4148</v>
      </c>
      <c r="Y58" s="79">
        <v>152</v>
      </c>
      <c r="Z58" s="79">
        <v>2076</v>
      </c>
      <c r="AA58" s="79">
        <v>270</v>
      </c>
      <c r="AB58" s="79">
        <v>97</v>
      </c>
      <c r="AC58" s="79">
        <v>443</v>
      </c>
      <c r="AD58" s="79">
        <v>449</v>
      </c>
      <c r="AE58" s="79">
        <v>157</v>
      </c>
      <c r="AF58" s="79">
        <v>439</v>
      </c>
      <c r="AG58" s="79">
        <v>-9452</v>
      </c>
      <c r="AH58" s="79">
        <v>2415</v>
      </c>
      <c r="AI58" s="79">
        <v>593</v>
      </c>
      <c r="AJ58" s="79">
        <v>571</v>
      </c>
      <c r="AK58" s="80">
        <v>969</v>
      </c>
      <c r="AL58" s="80">
        <v>-54</v>
      </c>
      <c r="AM58" s="80">
        <f>SUM(AM47:AM57)</f>
        <v>806</v>
      </c>
      <c r="AN58" s="80">
        <v>-390</v>
      </c>
      <c r="AO58" s="80">
        <f>SUM(AO47:AO57)</f>
        <v>168</v>
      </c>
      <c r="AP58" s="80">
        <f t="shared" si="11"/>
        <v>-8946</v>
      </c>
      <c r="AQ58" s="80">
        <f>SUM(AQ47:AQ57)</f>
        <v>-641</v>
      </c>
      <c r="AR58" s="80">
        <f t="shared" si="12"/>
        <v>-3927</v>
      </c>
      <c r="AS58" s="80">
        <f>SUM(AS47:AS57)</f>
        <v>-1175</v>
      </c>
    </row>
    <row r="59" spans="1:45" x14ac:dyDescent="0.2">
      <c r="A59" s="53"/>
      <c r="B59" s="34"/>
      <c r="C59" s="34"/>
      <c r="D59" s="34"/>
      <c r="E59" s="34"/>
      <c r="F59" s="34"/>
      <c r="G59" s="34"/>
      <c r="H59" s="34"/>
      <c r="I59" s="34"/>
      <c r="J59" s="34"/>
      <c r="K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Q59" s="6"/>
      <c r="AS59" s="6"/>
    </row>
    <row r="60" spans="1:45" x14ac:dyDescent="0.2">
      <c r="A60" s="5" t="s">
        <v>262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Q60" s="6"/>
      <c r="AS60" s="6"/>
    </row>
    <row r="61" spans="1:45" x14ac:dyDescent="0.2">
      <c r="A61" s="6" t="s">
        <v>263</v>
      </c>
      <c r="B61" s="34">
        <f t="shared" ref="B61:B74" si="38">SUM(Q61:R61)</f>
        <v>13487</v>
      </c>
      <c r="C61" s="34">
        <f t="shared" ref="C61:C74" si="39">SUM(S61:T61)</f>
        <v>0</v>
      </c>
      <c r="D61" s="34">
        <f t="shared" ref="D61:D74" si="40">SUM(U61:V61)</f>
        <v>0</v>
      </c>
      <c r="E61" s="34">
        <f t="shared" ref="E61:E74" si="41">SUM(W61:X61)</f>
        <v>0</v>
      </c>
      <c r="F61" s="34">
        <f t="shared" ref="F61:F74" si="42">SUM(Y61:Z61)</f>
        <v>0</v>
      </c>
      <c r="G61" s="34">
        <f t="shared" ref="G61:G74" si="43">SUM(AA61:AB61)</f>
        <v>0</v>
      </c>
      <c r="H61" s="34">
        <f t="shared" ref="H61:H74" si="44">SUM(AC61:AD61)</f>
        <v>0</v>
      </c>
      <c r="I61" s="34">
        <f t="shared" ref="I61:I74" si="45">SUM(AE61:AF61)</f>
        <v>0</v>
      </c>
      <c r="J61" s="34">
        <f t="shared" ref="J61:J74" si="46">SUM(AG61:AH61)</f>
        <v>0</v>
      </c>
      <c r="K61" s="34">
        <f t="shared" ref="K61:K74" si="47">SUM(AI61:AJ61)</f>
        <v>0</v>
      </c>
      <c r="L61" s="34">
        <f>SUM(AK61:AL61)</f>
        <v>0</v>
      </c>
      <c r="M61" s="34">
        <f t="shared" si="10"/>
        <v>0</v>
      </c>
      <c r="N61" s="34">
        <f t="shared" si="10"/>
        <v>0</v>
      </c>
      <c r="O61" s="34">
        <f>0</f>
        <v>0</v>
      </c>
      <c r="Q61" s="34">
        <v>13487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/>
      <c r="AP61" s="34">
        <f t="shared" si="11"/>
        <v>0</v>
      </c>
      <c r="AQ61" s="34">
        <f>0</f>
        <v>0</v>
      </c>
      <c r="AR61" s="34">
        <f t="shared" si="12"/>
        <v>0</v>
      </c>
      <c r="AS61" s="34">
        <f>0</f>
        <v>0</v>
      </c>
    </row>
    <row r="62" spans="1:45" x14ac:dyDescent="0.2">
      <c r="A62" s="6" t="s">
        <v>264</v>
      </c>
      <c r="B62" s="34">
        <f t="shared" si="38"/>
        <v>0</v>
      </c>
      <c r="C62" s="34">
        <f t="shared" si="39"/>
        <v>0</v>
      </c>
      <c r="D62" s="34">
        <f t="shared" si="40"/>
        <v>0</v>
      </c>
      <c r="E62" s="34">
        <f t="shared" si="41"/>
        <v>0</v>
      </c>
      <c r="F62" s="34">
        <f t="shared" si="42"/>
        <v>0</v>
      </c>
      <c r="G62" s="34">
        <f t="shared" si="43"/>
        <v>0</v>
      </c>
      <c r="H62" s="34">
        <f t="shared" si="44"/>
        <v>0</v>
      </c>
      <c r="I62" s="34">
        <f t="shared" si="45"/>
        <v>0</v>
      </c>
      <c r="J62" s="34">
        <f t="shared" si="46"/>
        <v>0</v>
      </c>
      <c r="K62" s="34">
        <f t="shared" si="47"/>
        <v>0</v>
      </c>
      <c r="L62" s="34">
        <f t="shared" ref="L62:L70" si="48">SUM(AK62:AL62)</f>
        <v>10881</v>
      </c>
      <c r="M62" s="34">
        <f t="shared" si="10"/>
        <v>0</v>
      </c>
      <c r="N62" s="34">
        <f t="shared" si="10"/>
        <v>0</v>
      </c>
      <c r="O62" s="34">
        <f>0</f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11003</v>
      </c>
      <c r="AL62" s="34">
        <v>-122</v>
      </c>
      <c r="AM62" s="34">
        <v>0</v>
      </c>
      <c r="AN62" s="34">
        <v>0</v>
      </c>
      <c r="AO62" s="34"/>
      <c r="AP62" s="34">
        <f t="shared" si="11"/>
        <v>0</v>
      </c>
      <c r="AQ62" s="34">
        <f>0</f>
        <v>0</v>
      </c>
      <c r="AR62" s="34">
        <f t="shared" si="12"/>
        <v>0</v>
      </c>
      <c r="AS62" s="34">
        <f>0</f>
        <v>0</v>
      </c>
    </row>
    <row r="63" spans="1:45" x14ac:dyDescent="0.2">
      <c r="A63" s="6" t="s">
        <v>265</v>
      </c>
      <c r="B63" s="34">
        <f t="shared" si="38"/>
        <v>6353</v>
      </c>
      <c r="C63" s="34">
        <f t="shared" si="39"/>
        <v>12140</v>
      </c>
      <c r="D63" s="34">
        <f t="shared" si="40"/>
        <v>5937</v>
      </c>
      <c r="E63" s="34">
        <f t="shared" si="41"/>
        <v>10763</v>
      </c>
      <c r="F63" s="34">
        <f t="shared" si="42"/>
        <v>9480</v>
      </c>
      <c r="G63" s="34">
        <f t="shared" si="43"/>
        <v>9016</v>
      </c>
      <c r="H63" s="34">
        <f t="shared" si="44"/>
        <v>15889</v>
      </c>
      <c r="I63" s="34">
        <f t="shared" si="45"/>
        <v>4707</v>
      </c>
      <c r="J63" s="34">
        <f t="shared" si="46"/>
        <v>30332</v>
      </c>
      <c r="K63" s="34">
        <f t="shared" si="47"/>
        <v>8691</v>
      </c>
      <c r="L63" s="34">
        <f t="shared" si="48"/>
        <v>49071</v>
      </c>
      <c r="M63" s="34">
        <f t="shared" si="10"/>
        <v>43008</v>
      </c>
      <c r="N63" s="34">
        <v>73292</v>
      </c>
      <c r="O63" s="34">
        <f>120278</f>
        <v>120278</v>
      </c>
      <c r="Q63" s="34">
        <v>2280</v>
      </c>
      <c r="R63" s="34">
        <v>4073</v>
      </c>
      <c r="S63" s="34">
        <v>2769</v>
      </c>
      <c r="T63" s="34">
        <v>9371</v>
      </c>
      <c r="U63" s="34">
        <v>2785</v>
      </c>
      <c r="V63" s="34">
        <v>3152</v>
      </c>
      <c r="W63" s="34">
        <v>5627</v>
      </c>
      <c r="X63" s="34">
        <v>5136</v>
      </c>
      <c r="Y63" s="34">
        <v>4707</v>
      </c>
      <c r="Z63" s="34">
        <v>4773</v>
      </c>
      <c r="AA63" s="34">
        <v>5882</v>
      </c>
      <c r="AB63" s="34">
        <v>3134</v>
      </c>
      <c r="AC63" s="34">
        <v>4671</v>
      </c>
      <c r="AD63" s="34">
        <v>11218</v>
      </c>
      <c r="AE63" s="34">
        <v>3609</v>
      </c>
      <c r="AF63" s="34">
        <v>1098</v>
      </c>
      <c r="AG63" s="34">
        <v>15719</v>
      </c>
      <c r="AH63" s="34">
        <v>14613</v>
      </c>
      <c r="AI63" s="34">
        <v>1367</v>
      </c>
      <c r="AJ63" s="34">
        <v>7324</v>
      </c>
      <c r="AK63" s="34">
        <v>17855</v>
      </c>
      <c r="AL63" s="34">
        <v>31216</v>
      </c>
      <c r="AM63" s="34">
        <v>22739</v>
      </c>
      <c r="AN63" s="34">
        <v>20269</v>
      </c>
      <c r="AO63" s="34">
        <v>35652</v>
      </c>
      <c r="AP63" s="34">
        <f t="shared" si="11"/>
        <v>37640</v>
      </c>
      <c r="AQ63" s="34">
        <f>51071</f>
        <v>51071</v>
      </c>
      <c r="AR63" s="34">
        <f t="shared" si="12"/>
        <v>69207</v>
      </c>
      <c r="AS63" s="34">
        <f>51677</f>
        <v>51677</v>
      </c>
    </row>
    <row r="64" spans="1:45" x14ac:dyDescent="0.2">
      <c r="A64" s="6" t="s">
        <v>266</v>
      </c>
      <c r="B64" s="34">
        <f t="shared" si="38"/>
        <v>-4821</v>
      </c>
      <c r="C64" s="34">
        <f t="shared" si="39"/>
        <v>-5552</v>
      </c>
      <c r="D64" s="34">
        <f t="shared" si="40"/>
        <v>-9668</v>
      </c>
      <c r="E64" s="34">
        <f t="shared" si="41"/>
        <v>-8498</v>
      </c>
      <c r="F64" s="34">
        <f t="shared" si="42"/>
        <v>-6281</v>
      </c>
      <c r="G64" s="34">
        <f t="shared" si="43"/>
        <v>-10404</v>
      </c>
      <c r="H64" s="34">
        <f t="shared" si="44"/>
        <v>-10009</v>
      </c>
      <c r="I64" s="34">
        <f t="shared" si="45"/>
        <v>-7719</v>
      </c>
      <c r="J64" s="34">
        <f t="shared" si="46"/>
        <v>-4432</v>
      </c>
      <c r="K64" s="34">
        <f t="shared" si="47"/>
        <v>-10108</v>
      </c>
      <c r="L64" s="34">
        <f t="shared" si="48"/>
        <v>-14635</v>
      </c>
      <c r="M64" s="34">
        <f t="shared" si="10"/>
        <v>-11166</v>
      </c>
      <c r="N64" s="34">
        <v>-29150</v>
      </c>
      <c r="O64" s="34">
        <f>-29746</f>
        <v>-29746</v>
      </c>
      <c r="Q64" s="34">
        <v>-777</v>
      </c>
      <c r="R64" s="34">
        <v>-4044</v>
      </c>
      <c r="S64" s="34">
        <v>-2450</v>
      </c>
      <c r="T64" s="34">
        <v>-3102</v>
      </c>
      <c r="U64" s="34">
        <v>-6624</v>
      </c>
      <c r="V64" s="34">
        <v>-3044</v>
      </c>
      <c r="W64" s="34">
        <v>-4278</v>
      </c>
      <c r="X64" s="34">
        <v>-4220</v>
      </c>
      <c r="Y64" s="34">
        <v>-2323</v>
      </c>
      <c r="Z64" s="34">
        <v>-3958</v>
      </c>
      <c r="AA64" s="34">
        <v>-3635</v>
      </c>
      <c r="AB64" s="34">
        <v>-6769</v>
      </c>
      <c r="AC64" s="34">
        <v>-3678</v>
      </c>
      <c r="AD64" s="34">
        <v>-6331</v>
      </c>
      <c r="AE64" s="34">
        <v>-4716</v>
      </c>
      <c r="AF64" s="34">
        <v>-3003</v>
      </c>
      <c r="AG64" s="34">
        <v>-2126</v>
      </c>
      <c r="AH64" s="34">
        <v>-2306</v>
      </c>
      <c r="AI64" s="34">
        <v>-4958</v>
      </c>
      <c r="AJ64" s="34">
        <v>-5150</v>
      </c>
      <c r="AK64" s="34">
        <v>-7361</v>
      </c>
      <c r="AL64" s="34">
        <v>-7274</v>
      </c>
      <c r="AM64" s="34">
        <v>-6493</v>
      </c>
      <c r="AN64" s="34">
        <v>-4673</v>
      </c>
      <c r="AO64" s="34">
        <v>-13683</v>
      </c>
      <c r="AP64" s="34">
        <f t="shared" si="11"/>
        <v>-15467</v>
      </c>
      <c r="AQ64" s="34">
        <f>-11014</f>
        <v>-11014</v>
      </c>
      <c r="AR64" s="34">
        <f t="shared" si="12"/>
        <v>-18732</v>
      </c>
      <c r="AS64" s="34">
        <f>-14598</f>
        <v>-14598</v>
      </c>
    </row>
    <row r="65" spans="1:45" x14ac:dyDescent="0.2">
      <c r="A65" s="6" t="s">
        <v>267</v>
      </c>
      <c r="B65" s="34">
        <f t="shared" si="38"/>
        <v>-3</v>
      </c>
      <c r="C65" s="34">
        <f t="shared" si="39"/>
        <v>-3</v>
      </c>
      <c r="D65" s="34">
        <f t="shared" si="40"/>
        <v>-10</v>
      </c>
      <c r="E65" s="34">
        <f t="shared" si="41"/>
        <v>-83</v>
      </c>
      <c r="F65" s="34">
        <f t="shared" si="42"/>
        <v>-20</v>
      </c>
      <c r="G65" s="34">
        <f t="shared" si="43"/>
        <v>-94</v>
      </c>
      <c r="H65" s="34">
        <f t="shared" si="44"/>
        <v>-29</v>
      </c>
      <c r="I65" s="34">
        <f t="shared" si="45"/>
        <v>0</v>
      </c>
      <c r="J65" s="34">
        <f t="shared" si="46"/>
        <v>-14600</v>
      </c>
      <c r="K65" s="34">
        <f t="shared" si="47"/>
        <v>0</v>
      </c>
      <c r="L65" s="34">
        <f t="shared" si="48"/>
        <v>0</v>
      </c>
      <c r="M65" s="34">
        <f t="shared" si="10"/>
        <v>0</v>
      </c>
      <c r="N65" s="34">
        <f t="shared" si="10"/>
        <v>0</v>
      </c>
      <c r="O65" s="34">
        <f t="shared" si="10"/>
        <v>0</v>
      </c>
      <c r="Q65" s="34">
        <v>0</v>
      </c>
      <c r="R65" s="34">
        <v>-3</v>
      </c>
      <c r="S65" s="34">
        <v>0</v>
      </c>
      <c r="T65" s="34">
        <v>-3</v>
      </c>
      <c r="U65" s="34">
        <v>0</v>
      </c>
      <c r="V65" s="34">
        <v>-10</v>
      </c>
      <c r="W65" s="34">
        <v>0</v>
      </c>
      <c r="X65" s="34">
        <v>-83</v>
      </c>
      <c r="Y65" s="34">
        <v>-66</v>
      </c>
      <c r="Z65" s="34">
        <v>46</v>
      </c>
      <c r="AA65" s="34">
        <v>-38</v>
      </c>
      <c r="AB65" s="34">
        <v>-56</v>
      </c>
      <c r="AC65" s="34">
        <v>-30</v>
      </c>
      <c r="AD65" s="34">
        <v>1</v>
      </c>
      <c r="AE65" s="34">
        <v>0</v>
      </c>
      <c r="AF65" s="34">
        <v>0</v>
      </c>
      <c r="AG65" s="34">
        <v>0</v>
      </c>
      <c r="AH65" s="34">
        <v>-14600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f t="shared" si="11"/>
        <v>0</v>
      </c>
      <c r="AQ65" s="34">
        <f>0</f>
        <v>0</v>
      </c>
      <c r="AR65" s="34">
        <f t="shared" si="12"/>
        <v>0</v>
      </c>
      <c r="AS65" s="34">
        <f>0</f>
        <v>0</v>
      </c>
    </row>
    <row r="66" spans="1:45" x14ac:dyDescent="0.2">
      <c r="A66" s="6" t="s">
        <v>268</v>
      </c>
      <c r="B66" s="34">
        <f t="shared" si="38"/>
        <v>24</v>
      </c>
      <c r="C66" s="34">
        <f t="shared" si="39"/>
        <v>0</v>
      </c>
      <c r="D66" s="34">
        <f t="shared" si="40"/>
        <v>0</v>
      </c>
      <c r="E66" s="34">
        <f t="shared" si="41"/>
        <v>0</v>
      </c>
      <c r="F66" s="34">
        <f t="shared" si="42"/>
        <v>0</v>
      </c>
      <c r="G66" s="34">
        <f t="shared" si="43"/>
        <v>0</v>
      </c>
      <c r="H66" s="34">
        <f t="shared" si="44"/>
        <v>0</v>
      </c>
      <c r="I66" s="34">
        <f t="shared" si="45"/>
        <v>0</v>
      </c>
      <c r="J66" s="34">
        <f t="shared" si="46"/>
        <v>0</v>
      </c>
      <c r="K66" s="34">
        <f t="shared" si="47"/>
        <v>0</v>
      </c>
      <c r="L66" s="34">
        <f t="shared" si="48"/>
        <v>0</v>
      </c>
      <c r="M66" s="34">
        <f t="shared" si="10"/>
        <v>0</v>
      </c>
      <c r="N66" s="34">
        <f t="shared" si="10"/>
        <v>0</v>
      </c>
      <c r="O66" s="34">
        <f t="shared" si="10"/>
        <v>0</v>
      </c>
      <c r="Q66" s="34">
        <v>24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f t="shared" si="11"/>
        <v>0</v>
      </c>
      <c r="AQ66" s="34">
        <f>0</f>
        <v>0</v>
      </c>
      <c r="AR66" s="34">
        <f t="shared" si="12"/>
        <v>0</v>
      </c>
      <c r="AS66" s="34">
        <f>0</f>
        <v>0</v>
      </c>
    </row>
    <row r="67" spans="1:45" x14ac:dyDescent="0.2">
      <c r="A67" s="6" t="s">
        <v>269</v>
      </c>
      <c r="B67" s="34">
        <f t="shared" si="38"/>
        <v>-459</v>
      </c>
      <c r="C67" s="34">
        <f t="shared" si="39"/>
        <v>-13</v>
      </c>
      <c r="D67" s="34">
        <f t="shared" si="40"/>
        <v>0</v>
      </c>
      <c r="E67" s="34">
        <f t="shared" si="41"/>
        <v>16</v>
      </c>
      <c r="F67" s="34">
        <f t="shared" si="42"/>
        <v>16</v>
      </c>
      <c r="G67" s="34">
        <f t="shared" si="43"/>
        <v>0</v>
      </c>
      <c r="H67" s="34">
        <f t="shared" si="44"/>
        <v>-628</v>
      </c>
      <c r="I67" s="34">
        <f t="shared" si="45"/>
        <v>-651</v>
      </c>
      <c r="J67" s="34">
        <f t="shared" si="46"/>
        <v>0</v>
      </c>
      <c r="K67" s="34">
        <f t="shared" si="47"/>
        <v>0</v>
      </c>
      <c r="L67" s="34">
        <f t="shared" si="48"/>
        <v>0</v>
      </c>
      <c r="M67" s="34">
        <f t="shared" si="10"/>
        <v>0</v>
      </c>
      <c r="N67" s="34">
        <f t="shared" si="10"/>
        <v>0</v>
      </c>
      <c r="O67" s="34">
        <f t="shared" si="10"/>
        <v>0</v>
      </c>
      <c r="Q67" s="34">
        <v>0</v>
      </c>
      <c r="R67" s="34">
        <v>-459</v>
      </c>
      <c r="S67" s="34">
        <v>-13</v>
      </c>
      <c r="T67" s="34">
        <v>0</v>
      </c>
      <c r="U67" s="34">
        <v>0</v>
      </c>
      <c r="V67" s="34">
        <v>0</v>
      </c>
      <c r="W67" s="34">
        <v>16</v>
      </c>
      <c r="X67" s="34">
        <v>0</v>
      </c>
      <c r="Y67" s="34">
        <v>0</v>
      </c>
      <c r="Z67" s="34">
        <v>16</v>
      </c>
      <c r="AA67" s="34">
        <v>0</v>
      </c>
      <c r="AB67" s="34">
        <v>0</v>
      </c>
      <c r="AC67" s="34">
        <v>0</v>
      </c>
      <c r="AD67" s="34">
        <v>-628</v>
      </c>
      <c r="AE67" s="34">
        <v>-651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f t="shared" si="11"/>
        <v>0</v>
      </c>
      <c r="AQ67" s="34">
        <f>0</f>
        <v>0</v>
      </c>
      <c r="AR67" s="34">
        <f t="shared" si="12"/>
        <v>0</v>
      </c>
      <c r="AS67" s="34">
        <f>0</f>
        <v>0</v>
      </c>
    </row>
    <row r="68" spans="1:45" x14ac:dyDescent="0.2">
      <c r="A68" s="6" t="s">
        <v>270</v>
      </c>
      <c r="B68" s="34">
        <f t="shared" si="38"/>
        <v>0</v>
      </c>
      <c r="C68" s="34">
        <f t="shared" si="39"/>
        <v>0</v>
      </c>
      <c r="D68" s="34">
        <f t="shared" si="40"/>
        <v>0</v>
      </c>
      <c r="E68" s="34">
        <f t="shared" si="41"/>
        <v>0</v>
      </c>
      <c r="F68" s="34">
        <f t="shared" si="42"/>
        <v>0</v>
      </c>
      <c r="G68" s="34">
        <f t="shared" si="43"/>
        <v>0</v>
      </c>
      <c r="H68" s="34">
        <f t="shared" si="44"/>
        <v>0</v>
      </c>
      <c r="I68" s="34">
        <f t="shared" si="45"/>
        <v>0</v>
      </c>
      <c r="J68" s="34">
        <f t="shared" si="46"/>
        <v>-939</v>
      </c>
      <c r="K68" s="34">
        <f t="shared" si="47"/>
        <v>-645</v>
      </c>
      <c r="L68" s="34">
        <f t="shared" si="48"/>
        <v>-1775</v>
      </c>
      <c r="M68" s="34">
        <f t="shared" si="10"/>
        <v>-2144</v>
      </c>
      <c r="N68" s="34">
        <v>-2966</v>
      </c>
      <c r="O68" s="34">
        <f>-1763</f>
        <v>-1763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-363</v>
      </c>
      <c r="AH68" s="34">
        <v>-576</v>
      </c>
      <c r="AI68" s="34">
        <v>-52</v>
      </c>
      <c r="AJ68" s="34">
        <v>-593</v>
      </c>
      <c r="AK68" s="34">
        <v>-707</v>
      </c>
      <c r="AL68" s="34">
        <v>-1068</v>
      </c>
      <c r="AM68" s="34">
        <v>-590</v>
      </c>
      <c r="AN68" s="34">
        <v>-1554</v>
      </c>
      <c r="AO68" s="34">
        <v>-1168</v>
      </c>
      <c r="AP68" s="34">
        <f t="shared" si="11"/>
        <v>-1798</v>
      </c>
      <c r="AQ68" s="34">
        <f>-426</f>
        <v>-426</v>
      </c>
      <c r="AR68" s="34">
        <f t="shared" si="12"/>
        <v>-1337</v>
      </c>
      <c r="AS68" s="34">
        <f>-223</f>
        <v>-223</v>
      </c>
    </row>
    <row r="69" spans="1:45" x14ac:dyDescent="0.2">
      <c r="A69" s="6" t="s">
        <v>271</v>
      </c>
      <c r="B69" s="34">
        <f t="shared" si="38"/>
        <v>0</v>
      </c>
      <c r="C69" s="34">
        <f t="shared" si="39"/>
        <v>0</v>
      </c>
      <c r="D69" s="34">
        <f t="shared" si="40"/>
        <v>0</v>
      </c>
      <c r="E69" s="34">
        <f t="shared" si="41"/>
        <v>-1124</v>
      </c>
      <c r="F69" s="34">
        <f t="shared" si="42"/>
        <v>-2452</v>
      </c>
      <c r="G69" s="34">
        <f t="shared" si="43"/>
        <v>-1504</v>
      </c>
      <c r="H69" s="34">
        <f t="shared" si="44"/>
        <v>-2542</v>
      </c>
      <c r="I69" s="34">
        <f t="shared" si="45"/>
        <v>-3567</v>
      </c>
      <c r="J69" s="34">
        <f t="shared" si="46"/>
        <v>-3599</v>
      </c>
      <c r="K69" s="34">
        <f t="shared" si="47"/>
        <v>-3527</v>
      </c>
      <c r="L69" s="34">
        <f t="shared" si="48"/>
        <v>-3613</v>
      </c>
      <c r="M69" s="34">
        <f t="shared" si="10"/>
        <v>0</v>
      </c>
      <c r="N69" s="34">
        <f t="shared" si="10"/>
        <v>0</v>
      </c>
      <c r="O69" s="34">
        <f t="shared" si="10"/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-1124</v>
      </c>
      <c r="Y69" s="34">
        <v>-1834</v>
      </c>
      <c r="Z69" s="34">
        <v>-618</v>
      </c>
      <c r="AA69" s="34">
        <v>-961</v>
      </c>
      <c r="AB69" s="34">
        <v>-543</v>
      </c>
      <c r="AC69" s="34">
        <v>0</v>
      </c>
      <c r="AD69" s="34">
        <v>-2542</v>
      </c>
      <c r="AE69" s="34">
        <v>0</v>
      </c>
      <c r="AF69" s="34">
        <v>-3567</v>
      </c>
      <c r="AG69" s="34">
        <v>-13</v>
      </c>
      <c r="AH69" s="34">
        <v>-3586</v>
      </c>
      <c r="AI69" s="34">
        <v>0</v>
      </c>
      <c r="AJ69" s="34">
        <v>-3527</v>
      </c>
      <c r="AK69" s="34">
        <v>0</v>
      </c>
      <c r="AL69" s="34">
        <v>-3613</v>
      </c>
      <c r="AM69" s="34">
        <v>0</v>
      </c>
      <c r="AN69" s="34">
        <v>0</v>
      </c>
      <c r="AO69" s="34">
        <v>0</v>
      </c>
      <c r="AP69" s="34">
        <f t="shared" si="11"/>
        <v>0</v>
      </c>
      <c r="AQ69" s="34">
        <f>0</f>
        <v>0</v>
      </c>
      <c r="AR69" s="34">
        <f t="shared" si="12"/>
        <v>0</v>
      </c>
      <c r="AS69" s="34">
        <f>0</f>
        <v>0</v>
      </c>
    </row>
    <row r="70" spans="1:45" x14ac:dyDescent="0.2">
      <c r="A70" s="51" t="s">
        <v>272</v>
      </c>
      <c r="B70" s="79">
        <f t="shared" si="38"/>
        <v>14581</v>
      </c>
      <c r="C70" s="79">
        <f t="shared" si="39"/>
        <v>6572</v>
      </c>
      <c r="D70" s="79">
        <f t="shared" si="40"/>
        <v>-3741</v>
      </c>
      <c r="E70" s="79">
        <f t="shared" si="41"/>
        <v>1074</v>
      </c>
      <c r="F70" s="79">
        <f t="shared" si="42"/>
        <v>743</v>
      </c>
      <c r="G70" s="79">
        <f t="shared" si="43"/>
        <v>-2986</v>
      </c>
      <c r="H70" s="79">
        <f t="shared" si="44"/>
        <v>2681</v>
      </c>
      <c r="I70" s="79">
        <f t="shared" si="45"/>
        <v>-7230</v>
      </c>
      <c r="J70" s="79">
        <f t="shared" si="46"/>
        <v>6762</v>
      </c>
      <c r="K70" s="79">
        <f t="shared" si="47"/>
        <v>-5589</v>
      </c>
      <c r="L70" s="79">
        <f t="shared" si="48"/>
        <v>39929</v>
      </c>
      <c r="M70" s="79">
        <v>29698</v>
      </c>
      <c r="N70" s="79">
        <f>SUM(N61:N69)</f>
        <v>41176</v>
      </c>
      <c r="O70" s="79">
        <f>SUM(O61:O69)</f>
        <v>88769</v>
      </c>
      <c r="P70" s="32"/>
      <c r="Q70" s="79">
        <v>15014</v>
      </c>
      <c r="R70" s="79">
        <v>-433</v>
      </c>
      <c r="S70" s="79">
        <v>306</v>
      </c>
      <c r="T70" s="79">
        <v>6266</v>
      </c>
      <c r="U70" s="79">
        <v>-3839</v>
      </c>
      <c r="V70" s="79">
        <v>98</v>
      </c>
      <c r="W70" s="79">
        <v>1365</v>
      </c>
      <c r="X70" s="79">
        <v>-291</v>
      </c>
      <c r="Y70" s="79">
        <v>484</v>
      </c>
      <c r="Z70" s="79">
        <v>259</v>
      </c>
      <c r="AA70" s="79">
        <v>1248</v>
      </c>
      <c r="AB70" s="79">
        <v>-4234</v>
      </c>
      <c r="AC70" s="79">
        <v>963</v>
      </c>
      <c r="AD70" s="79">
        <v>1718</v>
      </c>
      <c r="AE70" s="79">
        <v>-1758</v>
      </c>
      <c r="AF70" s="79">
        <v>-5472</v>
      </c>
      <c r="AG70" s="79">
        <v>13217</v>
      </c>
      <c r="AH70" s="79">
        <v>-6455</v>
      </c>
      <c r="AI70" s="79">
        <v>-3643</v>
      </c>
      <c r="AJ70" s="79">
        <v>-1946</v>
      </c>
      <c r="AK70" s="80">
        <v>20790</v>
      </c>
      <c r="AL70" s="80">
        <v>19139</v>
      </c>
      <c r="AM70" s="80">
        <f>SUM(AM61:AM69)</f>
        <v>15656</v>
      </c>
      <c r="AN70" s="80">
        <f>SUM(AN61:AN69)</f>
        <v>14042</v>
      </c>
      <c r="AO70" s="80">
        <f>SUM(AO61:AO69)</f>
        <v>20801</v>
      </c>
      <c r="AP70" s="80">
        <f t="shared" si="11"/>
        <v>20375</v>
      </c>
      <c r="AQ70" s="80">
        <f>SUM(AQ61:AQ69)</f>
        <v>39631</v>
      </c>
      <c r="AR70" s="80">
        <f t="shared" si="12"/>
        <v>49138</v>
      </c>
      <c r="AS70" s="80">
        <f>SUM(AS61:AS69)</f>
        <v>36856</v>
      </c>
    </row>
    <row r="71" spans="1:45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Q71" s="6"/>
      <c r="AS71" s="6"/>
    </row>
    <row r="72" spans="1:45" x14ac:dyDescent="0.2">
      <c r="A72" s="53" t="s">
        <v>273</v>
      </c>
      <c r="B72" s="78">
        <f t="shared" ref="B72:M72" si="49">B70+B58+B44</f>
        <v>9176</v>
      </c>
      <c r="C72" s="78">
        <f t="shared" si="49"/>
        <v>-3295</v>
      </c>
      <c r="D72" s="78">
        <f t="shared" si="49"/>
        <v>-2966</v>
      </c>
      <c r="E72" s="78">
        <f t="shared" si="49"/>
        <v>4862</v>
      </c>
      <c r="F72" s="78">
        <f t="shared" si="49"/>
        <v>-2842</v>
      </c>
      <c r="G72" s="78">
        <f t="shared" si="49"/>
        <v>-1182</v>
      </c>
      <c r="H72" s="78">
        <f t="shared" si="49"/>
        <v>3997</v>
      </c>
      <c r="I72" s="78">
        <f t="shared" si="49"/>
        <v>8523</v>
      </c>
      <c r="J72" s="78">
        <f t="shared" si="49"/>
        <v>8237</v>
      </c>
      <c r="K72" s="78">
        <f t="shared" si="49"/>
        <v>-5322</v>
      </c>
      <c r="L72" s="78">
        <f t="shared" si="49"/>
        <v>19041</v>
      </c>
      <c r="M72" s="78">
        <f t="shared" si="49"/>
        <v>-20701</v>
      </c>
      <c r="N72" s="78">
        <f>N70+N58+N44</f>
        <v>-14133</v>
      </c>
      <c r="O72" s="78">
        <f>O70+O58+O44</f>
        <v>-5408</v>
      </c>
      <c r="P72" s="40"/>
      <c r="Q72" s="78">
        <v>12714</v>
      </c>
      <c r="R72" s="78">
        <v>-3538</v>
      </c>
      <c r="S72" s="78">
        <v>-1249</v>
      </c>
      <c r="T72" s="78">
        <v>-2046</v>
      </c>
      <c r="U72" s="78">
        <v>-2556</v>
      </c>
      <c r="V72" s="78">
        <v>-410</v>
      </c>
      <c r="W72" s="78">
        <v>1396</v>
      </c>
      <c r="X72" s="78">
        <v>3466</v>
      </c>
      <c r="Y72" s="78">
        <v>-3982</v>
      </c>
      <c r="Z72" s="78">
        <v>1140</v>
      </c>
      <c r="AA72" s="78">
        <v>4348</v>
      </c>
      <c r="AB72" s="78">
        <v>-5530</v>
      </c>
      <c r="AC72" s="78">
        <v>-796</v>
      </c>
      <c r="AD72" s="78">
        <v>4793</v>
      </c>
      <c r="AE72" s="78">
        <v>4500</v>
      </c>
      <c r="AF72" s="78">
        <v>4023</v>
      </c>
      <c r="AG72" s="78">
        <v>12797</v>
      </c>
      <c r="AH72" s="78">
        <v>-4560</v>
      </c>
      <c r="AI72" s="78">
        <v>-6478</v>
      </c>
      <c r="AJ72" s="78">
        <v>1156</v>
      </c>
      <c r="AK72" s="34">
        <v>14450</v>
      </c>
      <c r="AL72" s="34">
        <v>4591</v>
      </c>
      <c r="AM72" s="34">
        <f>AM70+AM58+AM44</f>
        <v>-5221</v>
      </c>
      <c r="AN72" s="34">
        <v>-15480</v>
      </c>
      <c r="AO72" s="34">
        <f>AO70+AO58+AO44</f>
        <v>1548</v>
      </c>
      <c r="AP72" s="34">
        <f>AP70+AP58+AP44</f>
        <v>-15681</v>
      </c>
      <c r="AQ72" s="34">
        <f>AQ70+AQ58+AQ44</f>
        <v>-2721</v>
      </c>
      <c r="AR72" s="34">
        <f t="shared" si="12"/>
        <v>-2687</v>
      </c>
      <c r="AS72" s="34">
        <f t="shared" ref="AS72" si="50">AS70+AS58+AS44</f>
        <v>1331</v>
      </c>
    </row>
    <row r="73" spans="1:45" x14ac:dyDescent="0.2">
      <c r="A73" s="6" t="s">
        <v>274</v>
      </c>
      <c r="B73" s="34">
        <v>3636</v>
      </c>
      <c r="C73" s="34">
        <f t="shared" ref="C73:M73" si="51">B75</f>
        <v>14484</v>
      </c>
      <c r="D73" s="34">
        <f t="shared" si="51"/>
        <v>10716</v>
      </c>
      <c r="E73" s="34">
        <f t="shared" si="51"/>
        <v>8139</v>
      </c>
      <c r="F73" s="34">
        <f t="shared" si="51"/>
        <v>14631</v>
      </c>
      <c r="G73" s="34">
        <f t="shared" si="51"/>
        <v>11532</v>
      </c>
      <c r="H73" s="34">
        <f t="shared" si="51"/>
        <v>10206</v>
      </c>
      <c r="I73" s="34">
        <f t="shared" si="51"/>
        <v>14125</v>
      </c>
      <c r="J73" s="34">
        <f t="shared" si="51"/>
        <v>23066</v>
      </c>
      <c r="K73" s="34">
        <f t="shared" si="51"/>
        <v>31128</v>
      </c>
      <c r="L73" s="34">
        <f t="shared" si="51"/>
        <v>25830</v>
      </c>
      <c r="M73" s="34">
        <f t="shared" si="51"/>
        <v>44587</v>
      </c>
      <c r="N73" s="34">
        <f>M75</f>
        <v>23811</v>
      </c>
      <c r="O73" s="34">
        <f>N75</f>
        <v>9724</v>
      </c>
      <c r="Q73" s="34">
        <v>3636</v>
      </c>
      <c r="R73" s="34">
        <f>Q75</f>
        <v>16146</v>
      </c>
      <c r="S73" s="34">
        <v>14484</v>
      </c>
      <c r="T73" s="34">
        <f>S75</f>
        <v>13276</v>
      </c>
      <c r="U73" s="34">
        <v>10716</v>
      </c>
      <c r="V73" s="34">
        <f>U75</f>
        <v>8559</v>
      </c>
      <c r="W73" s="34">
        <v>8139</v>
      </c>
      <c r="X73" s="34">
        <f>W75</f>
        <v>9635</v>
      </c>
      <c r="Y73" s="34">
        <v>14631</v>
      </c>
      <c r="Z73" s="34">
        <f>Y75</f>
        <v>10042</v>
      </c>
      <c r="AA73" s="34">
        <v>11532</v>
      </c>
      <c r="AB73" s="34">
        <f>AA75</f>
        <v>15770</v>
      </c>
      <c r="AC73" s="34">
        <v>10206</v>
      </c>
      <c r="AD73" s="34">
        <f>AC75</f>
        <v>9392</v>
      </c>
      <c r="AE73" s="34">
        <v>14125</v>
      </c>
      <c r="AF73" s="34">
        <f>AE75</f>
        <v>18865</v>
      </c>
      <c r="AG73" s="34">
        <v>23066</v>
      </c>
      <c r="AH73" s="34">
        <f>AG75</f>
        <v>35797</v>
      </c>
      <c r="AI73" s="34">
        <v>31128</v>
      </c>
      <c r="AJ73" s="34">
        <f>AI75</f>
        <v>24678</v>
      </c>
      <c r="AK73" s="34">
        <v>25830</v>
      </c>
      <c r="AL73" s="34">
        <f>AK75</f>
        <v>39980</v>
      </c>
      <c r="AM73" s="34">
        <v>44587</v>
      </c>
      <c r="AN73" s="34">
        <f>AM75</f>
        <v>39194</v>
      </c>
      <c r="AO73" s="34">
        <v>23811</v>
      </c>
      <c r="AP73" s="34">
        <f>AO75</f>
        <v>25687</v>
      </c>
      <c r="AQ73" s="34">
        <f>9724</f>
        <v>9724</v>
      </c>
      <c r="AR73" s="34">
        <f t="shared" si="12"/>
        <v>0</v>
      </c>
      <c r="AS73" s="34">
        <f>4320</f>
        <v>4320</v>
      </c>
    </row>
    <row r="74" spans="1:45" x14ac:dyDescent="0.2">
      <c r="A74" s="6" t="s">
        <v>275</v>
      </c>
      <c r="B74" s="34">
        <f t="shared" si="38"/>
        <v>1672</v>
      </c>
      <c r="C74" s="34">
        <f t="shared" si="39"/>
        <v>-473</v>
      </c>
      <c r="D74" s="34">
        <f t="shared" si="40"/>
        <v>389</v>
      </c>
      <c r="E74" s="34">
        <f t="shared" si="41"/>
        <v>1630</v>
      </c>
      <c r="F74" s="34">
        <f t="shared" si="42"/>
        <v>-257</v>
      </c>
      <c r="G74" s="34">
        <f t="shared" si="43"/>
        <v>-144</v>
      </c>
      <c r="H74" s="34">
        <f t="shared" si="44"/>
        <v>-78</v>
      </c>
      <c r="I74" s="34">
        <f t="shared" si="45"/>
        <v>418</v>
      </c>
      <c r="J74" s="34">
        <f t="shared" si="46"/>
        <v>-175</v>
      </c>
      <c r="K74" s="34">
        <f t="shared" si="47"/>
        <v>24</v>
      </c>
      <c r="L74" s="34">
        <f t="shared" ref="L74" si="52">SUM(AK74:AL74)</f>
        <v>-284</v>
      </c>
      <c r="M74" s="34">
        <f t="shared" si="10"/>
        <v>-75</v>
      </c>
      <c r="N74" s="34">
        <v>46</v>
      </c>
      <c r="O74" s="34">
        <f>4</f>
        <v>4</v>
      </c>
      <c r="Q74" s="34">
        <v>-204</v>
      </c>
      <c r="R74" s="34">
        <v>1876</v>
      </c>
      <c r="S74" s="34">
        <v>41</v>
      </c>
      <c r="T74" s="34">
        <v>-514</v>
      </c>
      <c r="U74" s="34">
        <v>399</v>
      </c>
      <c r="V74" s="34">
        <v>-10</v>
      </c>
      <c r="W74" s="34">
        <v>100</v>
      </c>
      <c r="X74" s="34">
        <v>1530</v>
      </c>
      <c r="Y74" s="34">
        <v>-607</v>
      </c>
      <c r="Z74" s="34">
        <v>350</v>
      </c>
      <c r="AA74" s="34">
        <v>-110</v>
      </c>
      <c r="AB74" s="34">
        <v>-34</v>
      </c>
      <c r="AC74" s="34">
        <v>-18</v>
      </c>
      <c r="AD74" s="34">
        <v>-60</v>
      </c>
      <c r="AE74" s="34">
        <v>240</v>
      </c>
      <c r="AF74" s="34">
        <v>178</v>
      </c>
      <c r="AG74" s="34">
        <v>-66</v>
      </c>
      <c r="AH74" s="34">
        <v>-109</v>
      </c>
      <c r="AI74" s="34">
        <v>28</v>
      </c>
      <c r="AJ74" s="34">
        <v>-4</v>
      </c>
      <c r="AK74" s="34">
        <v>-300</v>
      </c>
      <c r="AL74" s="34">
        <v>16</v>
      </c>
      <c r="AM74" s="34">
        <v>-172</v>
      </c>
      <c r="AN74" s="34">
        <v>97</v>
      </c>
      <c r="AO74" s="34">
        <v>328</v>
      </c>
      <c r="AP74" s="34">
        <f>N74-AO74</f>
        <v>-282</v>
      </c>
      <c r="AQ74" s="34">
        <f>-4</f>
        <v>-4</v>
      </c>
      <c r="AR74" s="34">
        <f t="shared" si="12"/>
        <v>8</v>
      </c>
      <c r="AS74" s="34">
        <f>-7</f>
        <v>-7</v>
      </c>
    </row>
    <row r="75" spans="1:45" x14ac:dyDescent="0.2">
      <c r="A75" s="51" t="s">
        <v>276</v>
      </c>
      <c r="B75" s="79">
        <v>14484</v>
      </c>
      <c r="C75" s="79">
        <v>10716</v>
      </c>
      <c r="D75" s="79">
        <v>8139</v>
      </c>
      <c r="E75" s="79">
        <v>14631</v>
      </c>
      <c r="F75" s="79">
        <v>11532</v>
      </c>
      <c r="G75" s="79">
        <v>10206</v>
      </c>
      <c r="H75" s="79">
        <v>14125</v>
      </c>
      <c r="I75" s="79">
        <v>23066</v>
      </c>
      <c r="J75" s="79">
        <v>31128</v>
      </c>
      <c r="K75" s="79">
        <v>25830</v>
      </c>
      <c r="L75" s="79">
        <v>44587</v>
      </c>
      <c r="M75" s="79">
        <v>23811</v>
      </c>
      <c r="N75" s="79">
        <v>9724</v>
      </c>
      <c r="O75" s="79">
        <f>4320</f>
        <v>4320</v>
      </c>
      <c r="P75" s="32"/>
      <c r="Q75" s="79">
        <v>16146</v>
      </c>
      <c r="R75" s="79">
        <f>S73</f>
        <v>14484</v>
      </c>
      <c r="S75" s="79">
        <v>13276</v>
      </c>
      <c r="T75" s="79">
        <f>U73</f>
        <v>10716</v>
      </c>
      <c r="U75" s="79">
        <v>8559</v>
      </c>
      <c r="V75" s="79">
        <f>W73</f>
        <v>8139</v>
      </c>
      <c r="W75" s="79">
        <v>9635</v>
      </c>
      <c r="X75" s="79">
        <f>Y73</f>
        <v>14631</v>
      </c>
      <c r="Y75" s="79">
        <v>10042</v>
      </c>
      <c r="Z75" s="79">
        <f>AA73</f>
        <v>11532</v>
      </c>
      <c r="AA75" s="79">
        <v>15770</v>
      </c>
      <c r="AB75" s="79">
        <f>AC73</f>
        <v>10206</v>
      </c>
      <c r="AC75" s="79">
        <v>9392</v>
      </c>
      <c r="AD75" s="79">
        <f>AE73</f>
        <v>14125</v>
      </c>
      <c r="AE75" s="79">
        <v>18865</v>
      </c>
      <c r="AF75" s="79">
        <f>AG73</f>
        <v>23066</v>
      </c>
      <c r="AG75" s="79">
        <v>35797</v>
      </c>
      <c r="AH75" s="79">
        <f>AI73</f>
        <v>31128</v>
      </c>
      <c r="AI75" s="79">
        <v>24678</v>
      </c>
      <c r="AJ75" s="79">
        <f>AK73</f>
        <v>25830</v>
      </c>
      <c r="AK75" s="80">
        <v>39980</v>
      </c>
      <c r="AL75" s="80">
        <f>AM73</f>
        <v>44587</v>
      </c>
      <c r="AM75" s="80">
        <v>39194</v>
      </c>
      <c r="AN75" s="80">
        <f>M75</f>
        <v>23811</v>
      </c>
      <c r="AO75" s="80">
        <v>25687</v>
      </c>
      <c r="AP75" s="80">
        <f>N75</f>
        <v>9724</v>
      </c>
      <c r="AQ75" s="80">
        <f>SUM(AQ72:AQ74)</f>
        <v>6999</v>
      </c>
      <c r="AR75" s="80">
        <f t="shared" ref="AR75" si="53">O75-AQ75</f>
        <v>-2679</v>
      </c>
      <c r="AS75" s="80">
        <f>SUM(AS72:AS74)</f>
        <v>5644</v>
      </c>
    </row>
  </sheetData>
  <phoneticPr fontId="33" type="noConversion"/>
  <hyperlinks>
    <hyperlink ref="A3" location="Contents!A1" display="Back to Contents" xr:uid="{A942458B-793B-4C45-9BA9-CF293C7257FD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37F2-7D14-47A8-937C-7079592E43A3}">
  <dimension ref="A1:CN98"/>
  <sheetViews>
    <sheetView topLeftCell="A89" zoomScale="130" zoomScaleNormal="130" workbookViewId="0">
      <selection activeCell="A99" sqref="A99:XFD1048576"/>
    </sheetView>
  </sheetViews>
  <sheetFormatPr defaultRowHeight="15" outlineLevelRow="1" x14ac:dyDescent="0.25"/>
  <cols>
    <col min="1" max="1" width="2.7109375" style="115" customWidth="1"/>
    <col min="2" max="2" width="29.5703125" customWidth="1"/>
    <col min="3" max="3" width="13.140625" customWidth="1"/>
    <col min="4" max="4" width="14.42578125" customWidth="1"/>
    <col min="5" max="5" width="12.85546875" customWidth="1"/>
    <col min="6" max="6" width="11.7109375" customWidth="1"/>
    <col min="7" max="7" width="11.140625" customWidth="1"/>
    <col min="8" max="8" width="12.5703125" customWidth="1"/>
    <col min="9" max="11" width="12" customWidth="1"/>
    <col min="12" max="14" width="10.85546875" customWidth="1"/>
    <col min="15" max="15" width="11.5703125" customWidth="1"/>
    <col min="16" max="18" width="10.85546875" customWidth="1"/>
    <col min="19" max="19" width="12.5703125" customWidth="1"/>
    <col min="20" max="20" width="12.42578125" customWidth="1"/>
    <col min="21" max="21" width="14.5703125" customWidth="1"/>
    <col min="22" max="22" width="11.42578125" customWidth="1"/>
    <col min="23" max="23" width="13.85546875" customWidth="1"/>
    <col min="24" max="26" width="11.7109375" customWidth="1"/>
    <col min="27" max="27" width="9" customWidth="1"/>
    <col min="28" max="28" width="11.28515625" customWidth="1"/>
    <col min="29" max="29" width="12" customWidth="1"/>
    <col min="30" max="31" width="11.28515625" customWidth="1"/>
    <col min="32" max="32" width="20.7109375" style="207" customWidth="1"/>
    <col min="33" max="34" width="10.5703125" style="207" customWidth="1"/>
    <col min="35" max="35" width="16.7109375" style="207" customWidth="1"/>
    <col min="36" max="36" width="14.140625" style="207" customWidth="1"/>
    <col min="37" max="37" width="16.7109375" style="207" customWidth="1"/>
    <col min="38" max="38" width="14.85546875" style="207" customWidth="1"/>
    <col min="39" max="40" width="9.140625" style="181"/>
  </cols>
  <sheetData>
    <row r="1" spans="1:92" s="115" customFormat="1" ht="30" customHeight="1" x14ac:dyDescent="0.25">
      <c r="A1" s="218" t="s">
        <v>313</v>
      </c>
      <c r="B1" s="218" t="s">
        <v>314</v>
      </c>
      <c r="C1" s="218" t="s">
        <v>315</v>
      </c>
      <c r="D1" s="213" t="s">
        <v>316</v>
      </c>
      <c r="E1" s="218" t="s">
        <v>317</v>
      </c>
      <c r="F1" s="218" t="s">
        <v>318</v>
      </c>
      <c r="G1" s="218" t="s">
        <v>319</v>
      </c>
      <c r="H1" s="220" t="s">
        <v>320</v>
      </c>
      <c r="I1" s="221"/>
      <c r="J1" s="221"/>
      <c r="K1" s="221"/>
      <c r="L1" s="222"/>
      <c r="M1" s="220" t="s">
        <v>321</v>
      </c>
      <c r="N1" s="221"/>
      <c r="O1" s="221"/>
      <c r="P1" s="221"/>
      <c r="Q1" s="221"/>
      <c r="R1" s="222"/>
      <c r="S1" s="213" t="s">
        <v>322</v>
      </c>
      <c r="T1" s="213" t="s">
        <v>437</v>
      </c>
      <c r="U1" s="213" t="s">
        <v>323</v>
      </c>
      <c r="V1" s="213" t="s">
        <v>324</v>
      </c>
      <c r="W1" s="213" t="s">
        <v>438</v>
      </c>
      <c r="X1" s="213" t="s">
        <v>439</v>
      </c>
      <c r="Y1" s="213" t="s">
        <v>440</v>
      </c>
      <c r="Z1" s="213" t="s">
        <v>441</v>
      </c>
      <c r="AA1" s="213" t="s">
        <v>325</v>
      </c>
      <c r="AB1" s="210" t="s">
        <v>326</v>
      </c>
      <c r="AC1" s="211"/>
      <c r="AD1" s="212"/>
      <c r="AE1" s="213" t="s">
        <v>327</v>
      </c>
      <c r="AF1" s="213" t="s">
        <v>328</v>
      </c>
      <c r="AG1" s="215" t="s">
        <v>329</v>
      </c>
      <c r="AH1" s="216"/>
      <c r="AI1" s="216"/>
      <c r="AJ1" s="216"/>
      <c r="AK1" s="216"/>
      <c r="AL1" s="217"/>
      <c r="AM1" s="173"/>
      <c r="AN1" s="173"/>
    </row>
    <row r="2" spans="1:92" s="115" customFormat="1" ht="52.5" customHeight="1" x14ac:dyDescent="0.25">
      <c r="A2" s="219"/>
      <c r="B2" s="219"/>
      <c r="C2" s="219"/>
      <c r="D2" s="214"/>
      <c r="E2" s="219"/>
      <c r="F2" s="219"/>
      <c r="G2" s="219"/>
      <c r="H2" s="116" t="s">
        <v>330</v>
      </c>
      <c r="I2" s="116" t="s">
        <v>108</v>
      </c>
      <c r="J2" s="116" t="s">
        <v>109</v>
      </c>
      <c r="K2" s="116" t="s">
        <v>331</v>
      </c>
      <c r="L2" s="116" t="s">
        <v>332</v>
      </c>
      <c r="M2" s="116" t="s">
        <v>330</v>
      </c>
      <c r="N2" s="116" t="s">
        <v>108</v>
      </c>
      <c r="O2" s="116" t="s">
        <v>109</v>
      </c>
      <c r="P2" s="116" t="s">
        <v>331</v>
      </c>
      <c r="Q2" s="116" t="s">
        <v>332</v>
      </c>
      <c r="R2" s="116" t="s">
        <v>333</v>
      </c>
      <c r="S2" s="214"/>
      <c r="T2" s="214"/>
      <c r="U2" s="214"/>
      <c r="V2" s="214"/>
      <c r="W2" s="214"/>
      <c r="X2" s="214"/>
      <c r="Y2" s="214"/>
      <c r="Z2" s="214"/>
      <c r="AA2" s="214"/>
      <c r="AB2" s="117" t="s">
        <v>108</v>
      </c>
      <c r="AC2" s="117" t="s">
        <v>109</v>
      </c>
      <c r="AD2" s="117" t="s">
        <v>110</v>
      </c>
      <c r="AE2" s="214"/>
      <c r="AF2" s="214"/>
      <c r="AG2" s="118" t="s">
        <v>334</v>
      </c>
      <c r="AH2" s="118" t="s">
        <v>442</v>
      </c>
      <c r="AI2" s="116" t="s">
        <v>335</v>
      </c>
      <c r="AJ2" s="116" t="s">
        <v>336</v>
      </c>
      <c r="AK2" s="116" t="s">
        <v>337</v>
      </c>
      <c r="AL2" s="116" t="s">
        <v>338</v>
      </c>
      <c r="AM2" s="173"/>
      <c r="AN2" s="173"/>
    </row>
    <row r="3" spans="1:92" s="115" customFormat="1" ht="10.5" x14ac:dyDescent="0.25">
      <c r="A3" s="172"/>
      <c r="B3" s="119" t="s">
        <v>443</v>
      </c>
      <c r="C3" s="172"/>
      <c r="D3" s="171"/>
      <c r="E3" s="172"/>
      <c r="F3" s="172"/>
      <c r="G3" s="172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71"/>
      <c r="T3" s="171"/>
      <c r="U3" s="171"/>
      <c r="V3" s="171"/>
      <c r="W3" s="171"/>
      <c r="X3" s="171"/>
      <c r="Y3" s="171"/>
      <c r="Z3" s="171"/>
      <c r="AA3" s="171"/>
      <c r="AB3" s="120"/>
      <c r="AC3" s="120"/>
      <c r="AD3" s="120"/>
      <c r="AE3" s="171"/>
      <c r="AF3" s="171"/>
      <c r="AG3" s="171"/>
      <c r="AH3" s="171"/>
      <c r="AI3" s="121"/>
      <c r="AJ3" s="121"/>
      <c r="AK3" s="121"/>
      <c r="AL3" s="121"/>
      <c r="AM3" s="173"/>
      <c r="AN3" s="173"/>
    </row>
    <row r="4" spans="1:92" s="132" customFormat="1" ht="10.5" x14ac:dyDescent="0.25">
      <c r="A4" s="122">
        <v>1</v>
      </c>
      <c r="B4" s="123" t="s">
        <v>105</v>
      </c>
      <c r="C4" s="122" t="s">
        <v>92</v>
      </c>
      <c r="D4" s="124">
        <v>99877</v>
      </c>
      <c r="E4" s="125" t="s">
        <v>339</v>
      </c>
      <c r="F4" s="126">
        <v>108.8</v>
      </c>
      <c r="G4" s="124">
        <v>1198971.7070000002</v>
      </c>
      <c r="H4" s="124">
        <v>1094988.8470000001</v>
      </c>
      <c r="I4" s="124">
        <v>845719.15500000003</v>
      </c>
      <c r="J4" s="124">
        <v>132737.99200000003</v>
      </c>
      <c r="K4" s="124">
        <v>0</v>
      </c>
      <c r="L4" s="124">
        <v>8370</v>
      </c>
      <c r="M4" s="124">
        <v>868130.04700000002</v>
      </c>
      <c r="N4" s="124">
        <v>609950.35499999998</v>
      </c>
      <c r="O4" s="124">
        <v>118235.39200000002</v>
      </c>
      <c r="P4" s="124">
        <v>0</v>
      </c>
      <c r="Q4" s="124">
        <v>7361</v>
      </c>
      <c r="R4" s="124">
        <v>139944.30000000002</v>
      </c>
      <c r="S4" s="124">
        <v>265452.91686743923</v>
      </c>
      <c r="T4" s="124">
        <v>53457.564573311334</v>
      </c>
      <c r="U4" s="124">
        <v>211995.35229412789</v>
      </c>
      <c r="V4" s="124">
        <v>495553.82432331494</v>
      </c>
      <c r="W4" s="124">
        <v>24549.819043990003</v>
      </c>
      <c r="X4" s="124">
        <v>415686.41168521496</v>
      </c>
      <c r="Y4" s="124">
        <v>55317.593594110003</v>
      </c>
      <c r="Z4" s="124">
        <v>55668.381058669998</v>
      </c>
      <c r="AA4" s="127">
        <v>0.21199999999999999</v>
      </c>
      <c r="AB4" s="128">
        <v>460000</v>
      </c>
      <c r="AC4" s="128">
        <v>460000</v>
      </c>
      <c r="AD4" s="128">
        <v>2900000</v>
      </c>
      <c r="AE4" s="125" t="s">
        <v>340</v>
      </c>
      <c r="AF4" s="129" t="s">
        <v>444</v>
      </c>
      <c r="AG4" s="130">
        <v>95410.070244935283</v>
      </c>
      <c r="AH4" s="130">
        <v>48791.743293857508</v>
      </c>
      <c r="AI4" s="130">
        <v>46618.326951077775</v>
      </c>
      <c r="AJ4" s="130">
        <v>42522.900826678728</v>
      </c>
      <c r="AK4" s="130">
        <v>23519.205946186263</v>
      </c>
      <c r="AL4" s="130">
        <v>21147.560663622899</v>
      </c>
      <c r="AM4" s="174"/>
      <c r="AN4" s="174"/>
    </row>
    <row r="5" spans="1:92" s="132" customFormat="1" ht="21" x14ac:dyDescent="0.25">
      <c r="A5" s="122">
        <v>2</v>
      </c>
      <c r="B5" s="123" t="s">
        <v>341</v>
      </c>
      <c r="C5" s="122" t="s">
        <v>92</v>
      </c>
      <c r="D5" s="124">
        <v>20274</v>
      </c>
      <c r="E5" s="125" t="s">
        <v>339</v>
      </c>
      <c r="F5" s="126">
        <v>31.6</v>
      </c>
      <c r="G5" s="124">
        <v>254729.62</v>
      </c>
      <c r="H5" s="124">
        <v>254729.62</v>
      </c>
      <c r="I5" s="124">
        <v>184952.6</v>
      </c>
      <c r="J5" s="124">
        <v>51106.92</v>
      </c>
      <c r="K5" s="124">
        <v>0</v>
      </c>
      <c r="L5" s="124">
        <v>1420</v>
      </c>
      <c r="M5" s="124">
        <v>133624.91999999998</v>
      </c>
      <c r="N5" s="124">
        <v>72537.099999999991</v>
      </c>
      <c r="O5" s="124">
        <v>43122.720000000001</v>
      </c>
      <c r="P5" s="124">
        <v>0</v>
      </c>
      <c r="Q5" s="124">
        <v>762</v>
      </c>
      <c r="R5" s="124">
        <v>17965.099999999999</v>
      </c>
      <c r="S5" s="124">
        <v>48564.809231308172</v>
      </c>
      <c r="T5" s="124">
        <v>21256.147331929737</v>
      </c>
      <c r="U5" s="124">
        <v>27308.661899378436</v>
      </c>
      <c r="V5" s="124">
        <v>64877.091715632727</v>
      </c>
      <c r="W5" s="124">
        <v>11953.749965869998</v>
      </c>
      <c r="X5" s="124">
        <v>47247.352795442734</v>
      </c>
      <c r="Y5" s="124">
        <v>5675.9889543199997</v>
      </c>
      <c r="Z5" s="124">
        <v>7765.2114612300002</v>
      </c>
      <c r="AA5" s="127">
        <v>0.21199999999999999</v>
      </c>
      <c r="AB5" s="128">
        <v>453000</v>
      </c>
      <c r="AC5" s="128">
        <v>234000</v>
      </c>
      <c r="AD5" s="128">
        <v>2900000</v>
      </c>
      <c r="AE5" s="125" t="s">
        <v>340</v>
      </c>
      <c r="AF5" s="129" t="s">
        <v>445</v>
      </c>
      <c r="AG5" s="130">
        <v>14058.164935366127</v>
      </c>
      <c r="AH5" s="130">
        <v>8584.9848921637076</v>
      </c>
      <c r="AI5" s="130">
        <v>5473.1800432024193</v>
      </c>
      <c r="AJ5" s="130">
        <v>5148.2739673405395</v>
      </c>
      <c r="AK5" s="130">
        <v>3811.6732353555226</v>
      </c>
      <c r="AL5" s="130">
        <v>3559.5073598647286</v>
      </c>
      <c r="AM5" s="174"/>
      <c r="AN5" s="174"/>
    </row>
    <row r="6" spans="1:92" s="132" customFormat="1" ht="10.5" x14ac:dyDescent="0.25">
      <c r="A6" s="122">
        <v>3</v>
      </c>
      <c r="B6" s="123" t="s">
        <v>301</v>
      </c>
      <c r="C6" s="122" t="s">
        <v>92</v>
      </c>
      <c r="D6" s="124">
        <v>10409</v>
      </c>
      <c r="E6" s="125" t="s">
        <v>339</v>
      </c>
      <c r="F6" s="126">
        <v>2.7</v>
      </c>
      <c r="G6" s="124">
        <v>65405.299999999996</v>
      </c>
      <c r="H6" s="124">
        <v>65405.299999999996</v>
      </c>
      <c r="I6" s="124">
        <v>53904.6</v>
      </c>
      <c r="J6" s="124">
        <v>3307.5</v>
      </c>
      <c r="K6" s="124">
        <v>0</v>
      </c>
      <c r="L6" s="124">
        <v>567</v>
      </c>
      <c r="M6" s="124">
        <v>31592.799999999999</v>
      </c>
      <c r="N6" s="124">
        <v>18350.7</v>
      </c>
      <c r="O6" s="124">
        <v>1092.0999999999999</v>
      </c>
      <c r="P6" s="124">
        <v>0</v>
      </c>
      <c r="Q6" s="124">
        <v>405</v>
      </c>
      <c r="R6" s="124">
        <v>12150</v>
      </c>
      <c r="S6" s="124">
        <v>15357.053636014187</v>
      </c>
      <c r="T6" s="124">
        <v>7344.0682464945658</v>
      </c>
      <c r="U6" s="124">
        <v>8012.9853895196211</v>
      </c>
      <c r="V6" s="124">
        <v>35113.975524358997</v>
      </c>
      <c r="W6" s="124">
        <v>13301.192977620001</v>
      </c>
      <c r="X6" s="124">
        <v>13256.282546738996</v>
      </c>
      <c r="Y6" s="124">
        <v>8556.5</v>
      </c>
      <c r="Z6" s="124">
        <v>13229.9</v>
      </c>
      <c r="AA6" s="127">
        <v>0.21199999999999999</v>
      </c>
      <c r="AB6" s="128">
        <v>567000</v>
      </c>
      <c r="AC6" s="128">
        <v>557000</v>
      </c>
      <c r="AD6" s="128">
        <v>3500000</v>
      </c>
      <c r="AE6" s="125" t="s">
        <v>340</v>
      </c>
      <c r="AF6" s="122">
        <v>2025</v>
      </c>
      <c r="AG6" s="130">
        <v>5045.8295756458092</v>
      </c>
      <c r="AH6" s="130">
        <v>4748.2392855190283</v>
      </c>
      <c r="AI6" s="130">
        <v>297.59029012678093</v>
      </c>
      <c r="AJ6" s="130">
        <v>0</v>
      </c>
      <c r="AK6" s="130">
        <v>267.09680934974864</v>
      </c>
      <c r="AL6" s="130">
        <v>0</v>
      </c>
      <c r="AM6" s="174"/>
      <c r="AN6" s="174"/>
    </row>
    <row r="7" spans="1:92" s="132" customFormat="1" ht="21" x14ac:dyDescent="0.25">
      <c r="A7" s="122">
        <v>4</v>
      </c>
      <c r="B7" s="123" t="s">
        <v>446</v>
      </c>
      <c r="C7" s="122" t="s">
        <v>92</v>
      </c>
      <c r="D7" s="124">
        <v>3040</v>
      </c>
      <c r="E7" s="125" t="s">
        <v>346</v>
      </c>
      <c r="F7" s="126">
        <v>0.39379999999999998</v>
      </c>
      <c r="G7" s="124">
        <v>11396.800000000001</v>
      </c>
      <c r="H7" s="124">
        <v>11396.800000000001</v>
      </c>
      <c r="I7" s="124">
        <v>9987.5</v>
      </c>
      <c r="J7" s="124">
        <v>558.1</v>
      </c>
      <c r="K7" s="124">
        <v>0</v>
      </c>
      <c r="L7" s="124">
        <v>64</v>
      </c>
      <c r="M7" s="124">
        <v>11289.099999999999</v>
      </c>
      <c r="N7" s="124">
        <v>9879.7999999999975</v>
      </c>
      <c r="O7" s="124">
        <v>558.1</v>
      </c>
      <c r="P7" s="124">
        <v>0</v>
      </c>
      <c r="Q7" s="124">
        <v>64</v>
      </c>
      <c r="R7" s="124">
        <v>851.2</v>
      </c>
      <c r="S7" s="124">
        <v>2863.1148319787562</v>
      </c>
      <c r="T7" s="124">
        <v>281.38898375274312</v>
      </c>
      <c r="U7" s="124">
        <v>2581.7258482260131</v>
      </c>
      <c r="V7" s="124">
        <v>8088.3258448403149</v>
      </c>
      <c r="W7" s="124">
        <v>429.04886999999997</v>
      </c>
      <c r="X7" s="124">
        <v>7659.2769748403152</v>
      </c>
      <c r="Y7" s="124">
        <v>0</v>
      </c>
      <c r="Z7" s="124">
        <v>0</v>
      </c>
      <c r="AA7" s="127">
        <v>0.21199999999999999</v>
      </c>
      <c r="AB7" s="128">
        <v>590000</v>
      </c>
      <c r="AC7" s="128">
        <v>550000</v>
      </c>
      <c r="AD7" s="128">
        <v>3800000</v>
      </c>
      <c r="AE7" s="125" t="s">
        <v>340</v>
      </c>
      <c r="AF7" s="122">
        <v>2027</v>
      </c>
      <c r="AG7" s="130">
        <v>1405.5393754404943</v>
      </c>
      <c r="AH7" s="130">
        <v>279.20916778186984</v>
      </c>
      <c r="AI7" s="130">
        <v>1126.3302076586244</v>
      </c>
      <c r="AJ7" s="130">
        <v>878.99623130822442</v>
      </c>
      <c r="AK7" s="130">
        <v>733.74891204731864</v>
      </c>
      <c r="AL7" s="130">
        <v>603.52192669847375</v>
      </c>
      <c r="AM7" s="174"/>
      <c r="AN7" s="174"/>
    </row>
    <row r="8" spans="1:92" s="132" customFormat="1" ht="10.5" x14ac:dyDescent="0.25">
      <c r="A8" s="122">
        <v>5</v>
      </c>
      <c r="B8" s="123" t="s">
        <v>447</v>
      </c>
      <c r="C8" s="122" t="s">
        <v>92</v>
      </c>
      <c r="D8" s="124">
        <v>1854</v>
      </c>
      <c r="E8" s="125" t="s">
        <v>339</v>
      </c>
      <c r="F8" s="126">
        <v>1.1000000000000001</v>
      </c>
      <c r="G8" s="124">
        <v>14082.900000000001</v>
      </c>
      <c r="H8" s="124">
        <v>14082.900000000001</v>
      </c>
      <c r="I8" s="124">
        <v>11452.7</v>
      </c>
      <c r="J8" s="124">
        <v>1729.2</v>
      </c>
      <c r="K8" s="124">
        <v>0</v>
      </c>
      <c r="L8" s="124">
        <v>68</v>
      </c>
      <c r="M8" s="124">
        <v>14082.900000000001</v>
      </c>
      <c r="N8" s="124">
        <v>11452.7</v>
      </c>
      <c r="O8" s="124">
        <v>1729.2</v>
      </c>
      <c r="P8" s="124">
        <v>0</v>
      </c>
      <c r="Q8" s="124">
        <v>68</v>
      </c>
      <c r="R8" s="124">
        <v>901</v>
      </c>
      <c r="S8" s="124">
        <v>3900.2682906316541</v>
      </c>
      <c r="T8" s="124">
        <v>334.63741781571434</v>
      </c>
      <c r="U8" s="124">
        <v>3565.6308728159397</v>
      </c>
      <c r="V8" s="124">
        <v>7488.4842713714461</v>
      </c>
      <c r="W8" s="124">
        <v>0</v>
      </c>
      <c r="X8" s="124">
        <v>7488.4842713714461</v>
      </c>
      <c r="Y8" s="124">
        <v>0</v>
      </c>
      <c r="Z8" s="124">
        <v>0</v>
      </c>
      <c r="AA8" s="127">
        <v>0.21199999999999999</v>
      </c>
      <c r="AB8" s="128">
        <v>460000</v>
      </c>
      <c r="AC8" s="128">
        <v>490000</v>
      </c>
      <c r="AD8" s="128">
        <v>3400000</v>
      </c>
      <c r="AE8" s="125" t="s">
        <v>340</v>
      </c>
      <c r="AF8" s="122">
        <v>2028</v>
      </c>
      <c r="AG8" s="130">
        <v>1000.6332764304609</v>
      </c>
      <c r="AH8" s="130">
        <v>219.48327631515696</v>
      </c>
      <c r="AI8" s="130">
        <v>781.15000011530401</v>
      </c>
      <c r="AJ8" s="130">
        <v>726.25505014220391</v>
      </c>
      <c r="AK8" s="130">
        <v>534.82777165916843</v>
      </c>
      <c r="AL8" s="130">
        <v>497.37037539288281</v>
      </c>
      <c r="AM8" s="174"/>
      <c r="AN8" s="174"/>
    </row>
    <row r="9" spans="1:92" s="132" customFormat="1" ht="10.5" x14ac:dyDescent="0.25">
      <c r="A9" s="122">
        <v>6</v>
      </c>
      <c r="B9" s="123" t="s">
        <v>408</v>
      </c>
      <c r="C9" s="122" t="s">
        <v>92</v>
      </c>
      <c r="D9" s="124">
        <v>1733</v>
      </c>
      <c r="E9" s="125" t="s">
        <v>342</v>
      </c>
      <c r="F9" s="126">
        <v>7.96</v>
      </c>
      <c r="G9" s="124">
        <v>169088.87000000002</v>
      </c>
      <c r="H9" s="124">
        <v>157602.02000000002</v>
      </c>
      <c r="I9" s="124">
        <v>136657.1</v>
      </c>
      <c r="J9" s="124">
        <v>9061.92</v>
      </c>
      <c r="K9" s="124">
        <v>0</v>
      </c>
      <c r="L9" s="124">
        <v>853</v>
      </c>
      <c r="M9" s="124">
        <v>22042.3</v>
      </c>
      <c r="N9" s="124">
        <v>18470</v>
      </c>
      <c r="O9" s="124">
        <v>2822.3</v>
      </c>
      <c r="P9" s="124">
        <v>0</v>
      </c>
      <c r="Q9" s="124">
        <v>50</v>
      </c>
      <c r="R9" s="124">
        <v>750</v>
      </c>
      <c r="S9" s="124">
        <v>21856.895327625425</v>
      </c>
      <c r="T9" s="124">
        <v>14728.684673777938</v>
      </c>
      <c r="U9" s="124">
        <v>7128.2106538474882</v>
      </c>
      <c r="V9" s="124">
        <v>9931.5482089840771</v>
      </c>
      <c r="W9" s="124">
        <v>320.86956741000006</v>
      </c>
      <c r="X9" s="124">
        <v>9610.6786415740771</v>
      </c>
      <c r="Y9" s="124">
        <v>0</v>
      </c>
      <c r="Z9" s="124">
        <v>0</v>
      </c>
      <c r="AA9" s="127">
        <v>0.21199999999999999</v>
      </c>
      <c r="AB9" s="128">
        <v>450000</v>
      </c>
      <c r="AC9" s="128">
        <v>290000</v>
      </c>
      <c r="AD9" s="128">
        <v>2900000</v>
      </c>
      <c r="AE9" s="125" t="s">
        <v>340</v>
      </c>
      <c r="AF9" s="122">
        <v>2027</v>
      </c>
      <c r="AG9" s="130">
        <v>1799.5213623706754</v>
      </c>
      <c r="AH9" s="130">
        <v>1799.5213623706754</v>
      </c>
      <c r="AI9" s="130">
        <v>0</v>
      </c>
      <c r="AJ9" s="130">
        <v>0</v>
      </c>
      <c r="AK9" s="130">
        <v>0</v>
      </c>
      <c r="AL9" s="130">
        <v>0</v>
      </c>
      <c r="AM9" s="174"/>
      <c r="AN9" s="174"/>
    </row>
    <row r="10" spans="1:92" s="132" customFormat="1" ht="10.5" x14ac:dyDescent="0.25">
      <c r="A10" s="122">
        <v>7</v>
      </c>
      <c r="B10" s="123" t="s">
        <v>104</v>
      </c>
      <c r="C10" s="122" t="s">
        <v>92</v>
      </c>
      <c r="D10" s="124">
        <v>3387</v>
      </c>
      <c r="E10" s="125" t="s">
        <v>339</v>
      </c>
      <c r="F10" s="126">
        <v>0.4</v>
      </c>
      <c r="G10" s="124">
        <v>10809.02</v>
      </c>
      <c r="H10" s="124">
        <v>10809.02</v>
      </c>
      <c r="I10" s="124">
        <v>8265</v>
      </c>
      <c r="J10" s="124">
        <v>1331</v>
      </c>
      <c r="K10" s="124">
        <v>0</v>
      </c>
      <c r="L10" s="124">
        <v>69</v>
      </c>
      <c r="M10" s="124">
        <v>10809.02</v>
      </c>
      <c r="N10" s="124">
        <v>8265</v>
      </c>
      <c r="O10" s="124">
        <v>1331</v>
      </c>
      <c r="P10" s="124">
        <v>0</v>
      </c>
      <c r="Q10" s="124">
        <v>69</v>
      </c>
      <c r="R10" s="124">
        <v>1213.02</v>
      </c>
      <c r="S10" s="124">
        <v>4876.6918742241396</v>
      </c>
      <c r="T10" s="124">
        <v>161.41450999999961</v>
      </c>
      <c r="U10" s="124">
        <v>4715.27736422414</v>
      </c>
      <c r="V10" s="124">
        <v>14207.64508730106</v>
      </c>
      <c r="W10" s="124">
        <v>0</v>
      </c>
      <c r="X10" s="124">
        <v>14207.64508730106</v>
      </c>
      <c r="Y10" s="124">
        <v>0</v>
      </c>
      <c r="Z10" s="124">
        <v>0</v>
      </c>
      <c r="AA10" s="127">
        <v>0.23799999999999999</v>
      </c>
      <c r="AB10" s="128">
        <v>1200000</v>
      </c>
      <c r="AC10" s="128">
        <v>600000</v>
      </c>
      <c r="AD10" s="128">
        <v>4900000</v>
      </c>
      <c r="AE10" s="125" t="s">
        <v>347</v>
      </c>
      <c r="AF10" s="122">
        <v>2029</v>
      </c>
      <c r="AG10" s="130">
        <v>2198.3951614970988</v>
      </c>
      <c r="AH10" s="130">
        <v>705.31367140999998</v>
      </c>
      <c r="AI10" s="130">
        <v>1493.0814900870987</v>
      </c>
      <c r="AJ10" s="130">
        <v>1454.3941067438361</v>
      </c>
      <c r="AK10" s="130">
        <v>859.61806411555278</v>
      </c>
      <c r="AL10" s="130">
        <v>839.85328030530877</v>
      </c>
      <c r="AM10" s="174"/>
      <c r="AN10" s="174"/>
    </row>
    <row r="11" spans="1:92" s="132" customFormat="1" ht="10.5" x14ac:dyDescent="0.25">
      <c r="A11" s="133"/>
      <c r="B11" s="134" t="s">
        <v>448</v>
      </c>
      <c r="C11" s="133"/>
      <c r="D11" s="135">
        <v>140574</v>
      </c>
      <c r="E11" s="133"/>
      <c r="F11" s="133"/>
      <c r="G11" s="135">
        <v>1724484.2170000002</v>
      </c>
      <c r="H11" s="135">
        <v>1609014.5070000002</v>
      </c>
      <c r="I11" s="135">
        <v>1250938.655</v>
      </c>
      <c r="J11" s="135">
        <v>199832.63200000004</v>
      </c>
      <c r="K11" s="135">
        <v>0</v>
      </c>
      <c r="L11" s="135">
        <v>11411</v>
      </c>
      <c r="M11" s="135">
        <v>1091571.0870000001</v>
      </c>
      <c r="N11" s="135">
        <v>748905.65499999991</v>
      </c>
      <c r="O11" s="135">
        <v>168890.81200000003</v>
      </c>
      <c r="P11" s="135">
        <v>0</v>
      </c>
      <c r="Q11" s="135">
        <v>8779</v>
      </c>
      <c r="R11" s="135">
        <v>173774.62000000002</v>
      </c>
      <c r="S11" s="135">
        <v>362871.75005922152</v>
      </c>
      <c r="T11" s="135">
        <v>97563.905737082037</v>
      </c>
      <c r="U11" s="135">
        <v>265307.84432213957</v>
      </c>
      <c r="V11" s="135">
        <v>635260.89497580356</v>
      </c>
      <c r="W11" s="135">
        <v>50554.680424890001</v>
      </c>
      <c r="X11" s="135">
        <v>515156.13200248353</v>
      </c>
      <c r="Y11" s="135">
        <v>69550.08254843</v>
      </c>
      <c r="Z11" s="135">
        <v>76663.492519899999</v>
      </c>
      <c r="AA11" s="136"/>
      <c r="AB11" s="135"/>
      <c r="AC11" s="135"/>
      <c r="AD11" s="135"/>
      <c r="AE11" s="136"/>
      <c r="AF11" s="136"/>
      <c r="AG11" s="137">
        <v>120918.15393168597</v>
      </c>
      <c r="AH11" s="137">
        <v>65128.494949417938</v>
      </c>
      <c r="AI11" s="137">
        <v>55789.658982268003</v>
      </c>
      <c r="AJ11" s="137">
        <v>50730.820182213523</v>
      </c>
      <c r="AK11" s="137">
        <v>29726.170738713576</v>
      </c>
      <c r="AL11" s="137">
        <v>26647.813605884294</v>
      </c>
      <c r="AM11" s="174"/>
      <c r="AN11" s="174"/>
    </row>
    <row r="12" spans="1:92" s="181" customFormat="1" ht="10.5" customHeight="1" x14ac:dyDescent="0.25">
      <c r="A12" s="172"/>
      <c r="B12" s="119" t="s">
        <v>449</v>
      </c>
      <c r="C12" s="172"/>
      <c r="D12" s="171"/>
      <c r="E12" s="172"/>
      <c r="F12" s="172"/>
      <c r="G12" s="172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71"/>
      <c r="T12" s="171"/>
      <c r="U12" s="171"/>
      <c r="V12" s="171"/>
      <c r="W12" s="171"/>
      <c r="X12" s="171"/>
      <c r="Y12" s="171"/>
      <c r="Z12" s="171"/>
      <c r="AA12" s="171"/>
      <c r="AB12" s="120"/>
      <c r="AC12" s="120"/>
      <c r="AD12" s="120"/>
      <c r="AE12" s="171"/>
      <c r="AF12" s="171"/>
      <c r="AG12" s="171"/>
      <c r="AH12" s="171"/>
      <c r="AI12" s="121"/>
      <c r="AJ12" s="121"/>
      <c r="AK12" s="121"/>
      <c r="AL12" s="121"/>
      <c r="AM12" s="175"/>
      <c r="AN12" s="176"/>
      <c r="AO12" s="176"/>
      <c r="AP12" s="176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5"/>
      <c r="BC12" s="175"/>
      <c r="BD12" s="175"/>
      <c r="BE12" s="175"/>
      <c r="BF12" s="175"/>
      <c r="BG12" s="175"/>
      <c r="BH12" s="175"/>
      <c r="BI12" s="175"/>
      <c r="BJ12" s="175"/>
      <c r="BK12" s="178"/>
      <c r="BL12" s="178"/>
      <c r="BM12" s="178"/>
      <c r="BN12" s="175"/>
      <c r="BO12" s="179"/>
      <c r="BP12" s="179"/>
      <c r="BQ12" s="179"/>
      <c r="BR12" s="175"/>
      <c r="BS12" s="175"/>
      <c r="BT12" s="175"/>
      <c r="BU12" s="180"/>
      <c r="BV12" s="180"/>
      <c r="BW12" s="180"/>
      <c r="BX12" s="180"/>
      <c r="BY12" s="175"/>
      <c r="BZ12" s="176"/>
      <c r="CA12" s="176"/>
      <c r="CB12" s="176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5"/>
    </row>
    <row r="13" spans="1:92" s="181" customFormat="1" ht="21" x14ac:dyDescent="0.25">
      <c r="A13" s="122">
        <v>8</v>
      </c>
      <c r="B13" s="123" t="s">
        <v>409</v>
      </c>
      <c r="C13" s="122" t="s">
        <v>349</v>
      </c>
      <c r="D13" s="124">
        <v>15831</v>
      </c>
      <c r="E13" s="125" t="s">
        <v>342</v>
      </c>
      <c r="F13" s="126">
        <v>4.0484999999999998</v>
      </c>
      <c r="G13" s="124">
        <v>63326.9</v>
      </c>
      <c r="H13" s="124">
        <v>55037.2</v>
      </c>
      <c r="I13" s="124">
        <v>45206.5</v>
      </c>
      <c r="J13" s="124">
        <v>2780.7</v>
      </c>
      <c r="K13" s="124">
        <v>0</v>
      </c>
      <c r="L13" s="124">
        <v>470</v>
      </c>
      <c r="M13" s="124">
        <v>50566.200000000004</v>
      </c>
      <c r="N13" s="124">
        <v>41197.800000000003</v>
      </c>
      <c r="O13" s="124">
        <v>2573.3999999999996</v>
      </c>
      <c r="P13" s="124">
        <v>0</v>
      </c>
      <c r="Q13" s="124">
        <v>453</v>
      </c>
      <c r="R13" s="124">
        <v>6795</v>
      </c>
      <c r="S13" s="124">
        <v>14671.388466252733</v>
      </c>
      <c r="T13" s="124">
        <v>1590.307176863822</v>
      </c>
      <c r="U13" s="124">
        <v>13081.081289388911</v>
      </c>
      <c r="V13" s="124">
        <v>52047.917948621245</v>
      </c>
      <c r="W13" s="124">
        <v>2977.1886285300002</v>
      </c>
      <c r="X13" s="124">
        <v>48594.280774621198</v>
      </c>
      <c r="Y13" s="124">
        <v>476.44854547000006</v>
      </c>
      <c r="Z13" s="124">
        <v>1103.1118299899999</v>
      </c>
      <c r="AA13" s="127">
        <v>0.21199999999999999</v>
      </c>
      <c r="AB13" s="128">
        <v>807000</v>
      </c>
      <c r="AC13" s="128">
        <v>557000</v>
      </c>
      <c r="AD13" s="128">
        <v>7250000</v>
      </c>
      <c r="AE13" s="125" t="s">
        <v>340</v>
      </c>
      <c r="AF13" s="122">
        <v>2027</v>
      </c>
      <c r="AG13" s="130">
        <v>5349.5515054200005</v>
      </c>
      <c r="AH13" s="130">
        <v>4665.7515054200003</v>
      </c>
      <c r="AI13" s="130">
        <v>683.80000000000018</v>
      </c>
      <c r="AJ13" s="130">
        <v>0</v>
      </c>
      <c r="AK13" s="130">
        <v>524.3787216212877</v>
      </c>
      <c r="AL13" s="130">
        <v>0</v>
      </c>
      <c r="AM13" s="138"/>
      <c r="AN13" s="182"/>
      <c r="AO13" s="183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27"/>
      <c r="BK13" s="184"/>
      <c r="BL13" s="184"/>
      <c r="BM13" s="184"/>
      <c r="BN13" s="182"/>
      <c r="BO13" s="182"/>
      <c r="BP13" s="182"/>
      <c r="BQ13" s="185"/>
      <c r="BR13" s="186"/>
      <c r="BS13" s="187"/>
      <c r="BT13" s="187"/>
      <c r="BU13" s="187"/>
      <c r="BV13" s="187"/>
      <c r="BW13" s="187"/>
      <c r="BX13" s="187"/>
      <c r="BY13" s="138"/>
      <c r="BZ13" s="182"/>
      <c r="CA13" s="183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</row>
    <row r="14" spans="1:92" s="181" customFormat="1" ht="10.5" customHeight="1" x14ac:dyDescent="0.25">
      <c r="A14" s="122">
        <v>9</v>
      </c>
      <c r="B14" s="123" t="s">
        <v>450</v>
      </c>
      <c r="C14" s="122" t="s">
        <v>349</v>
      </c>
      <c r="D14" s="124">
        <v>5594</v>
      </c>
      <c r="E14" s="125" t="s">
        <v>342</v>
      </c>
      <c r="F14" s="126">
        <v>5.3426999999999998</v>
      </c>
      <c r="G14" s="124">
        <v>102041.50000000001</v>
      </c>
      <c r="H14" s="124">
        <v>102041.50000000001</v>
      </c>
      <c r="I14" s="124">
        <v>90147.199999999997</v>
      </c>
      <c r="J14" s="124">
        <v>7574.3</v>
      </c>
      <c r="K14" s="124">
        <v>0</v>
      </c>
      <c r="L14" s="124">
        <v>288</v>
      </c>
      <c r="M14" s="124">
        <v>101967.59999999999</v>
      </c>
      <c r="N14" s="124">
        <v>90073.299999999988</v>
      </c>
      <c r="O14" s="124">
        <v>7574.3</v>
      </c>
      <c r="P14" s="124">
        <v>0</v>
      </c>
      <c r="Q14" s="124">
        <v>288</v>
      </c>
      <c r="R14" s="124">
        <v>4320</v>
      </c>
      <c r="S14" s="124">
        <v>14098.348120195553</v>
      </c>
      <c r="T14" s="124">
        <v>3428.0493660922384</v>
      </c>
      <c r="U14" s="124">
        <v>10670.298754103314</v>
      </c>
      <c r="V14" s="124">
        <v>29670.629662105865</v>
      </c>
      <c r="W14" s="124">
        <v>11.596339</v>
      </c>
      <c r="X14" s="124">
        <v>29659.033323105865</v>
      </c>
      <c r="Y14" s="124">
        <v>0</v>
      </c>
      <c r="Z14" s="124">
        <v>0</v>
      </c>
      <c r="AA14" s="127">
        <v>0.21199999999999999</v>
      </c>
      <c r="AB14" s="128">
        <v>220000</v>
      </c>
      <c r="AC14" s="128">
        <v>215000</v>
      </c>
      <c r="AD14" s="128">
        <v>600000</v>
      </c>
      <c r="AE14" s="125" t="s">
        <v>340</v>
      </c>
      <c r="AF14" s="122">
        <v>2028</v>
      </c>
      <c r="AG14" s="130">
        <v>1828.6131814999999</v>
      </c>
      <c r="AH14" s="130">
        <v>1826.6046406999999</v>
      </c>
      <c r="AI14" s="130">
        <v>2.0085407999999916</v>
      </c>
      <c r="AJ14" s="130">
        <v>0</v>
      </c>
      <c r="AK14" s="130">
        <v>1.4526108858787632</v>
      </c>
      <c r="AL14" s="130">
        <v>0</v>
      </c>
      <c r="AM14" s="138"/>
      <c r="AN14" s="182"/>
      <c r="AO14" s="183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27"/>
      <c r="BK14" s="184"/>
      <c r="BL14" s="184"/>
      <c r="BM14" s="184"/>
      <c r="BN14" s="182"/>
      <c r="BO14" s="182"/>
      <c r="BP14" s="182"/>
      <c r="BQ14" s="185"/>
      <c r="BR14" s="186"/>
      <c r="BS14" s="187"/>
      <c r="BT14" s="187"/>
      <c r="BU14" s="187"/>
      <c r="BV14" s="187"/>
      <c r="BW14" s="187"/>
      <c r="BX14" s="187"/>
      <c r="BY14" s="138"/>
      <c r="BZ14" s="182"/>
      <c r="CA14" s="183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</row>
    <row r="15" spans="1:92" s="181" customFormat="1" ht="10.5" customHeight="1" x14ac:dyDescent="0.25">
      <c r="A15" s="122">
        <v>10</v>
      </c>
      <c r="B15" s="123" t="s">
        <v>295</v>
      </c>
      <c r="C15" s="122" t="s">
        <v>349</v>
      </c>
      <c r="D15" s="124">
        <v>2217</v>
      </c>
      <c r="E15" s="125" t="s">
        <v>342</v>
      </c>
      <c r="F15" s="126">
        <v>20.722899999999999</v>
      </c>
      <c r="G15" s="124">
        <v>140600.20000000001</v>
      </c>
      <c r="H15" s="124">
        <v>104849.40000000001</v>
      </c>
      <c r="I15" s="124">
        <v>95369.400000000009</v>
      </c>
      <c r="J15" s="124">
        <v>8600</v>
      </c>
      <c r="K15" s="124">
        <v>0</v>
      </c>
      <c r="L15" s="124">
        <v>634</v>
      </c>
      <c r="M15" s="124">
        <v>113479.40000000001</v>
      </c>
      <c r="N15" s="124">
        <v>95369.400000000009</v>
      </c>
      <c r="O15" s="124">
        <v>8600</v>
      </c>
      <c r="P15" s="124">
        <v>0</v>
      </c>
      <c r="Q15" s="124">
        <v>634</v>
      </c>
      <c r="R15" s="124">
        <v>9510</v>
      </c>
      <c r="S15" s="124">
        <v>16415.168611447258</v>
      </c>
      <c r="T15" s="124">
        <v>361.03824830999838</v>
      </c>
      <c r="U15" s="124">
        <v>16054.130363137259</v>
      </c>
      <c r="V15" s="124">
        <v>31237.908595360328</v>
      </c>
      <c r="W15" s="124">
        <v>0</v>
      </c>
      <c r="X15" s="124">
        <v>31237.908595360328</v>
      </c>
      <c r="Y15" s="124">
        <v>0</v>
      </c>
      <c r="Z15" s="124">
        <v>0</v>
      </c>
      <c r="AA15" s="127">
        <v>0.23799999999999999</v>
      </c>
      <c r="AB15" s="128">
        <v>216000</v>
      </c>
      <c r="AC15" s="128">
        <v>100000</v>
      </c>
      <c r="AD15" s="128">
        <v>470000</v>
      </c>
      <c r="AE15" s="125" t="s">
        <v>347</v>
      </c>
      <c r="AF15" s="122">
        <v>2028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8"/>
      <c r="AN15" s="182"/>
      <c r="AO15" s="183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27"/>
      <c r="BK15" s="184"/>
      <c r="BL15" s="184"/>
      <c r="BM15" s="184"/>
      <c r="BN15" s="182"/>
      <c r="BO15" s="182"/>
      <c r="BP15" s="182"/>
      <c r="BQ15" s="185"/>
      <c r="BR15" s="186"/>
      <c r="BS15" s="187"/>
      <c r="BT15" s="187"/>
      <c r="BU15" s="187"/>
      <c r="BV15" s="187"/>
      <c r="BW15" s="187"/>
      <c r="BX15" s="187"/>
      <c r="BY15" s="138"/>
      <c r="BZ15" s="182"/>
      <c r="CA15" s="183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</row>
    <row r="16" spans="1:92" s="181" customFormat="1" ht="10.5" customHeight="1" x14ac:dyDescent="0.25">
      <c r="A16" s="122">
        <v>11</v>
      </c>
      <c r="B16" s="123" t="s">
        <v>410</v>
      </c>
      <c r="C16" s="122" t="s">
        <v>349</v>
      </c>
      <c r="D16" s="124">
        <v>2536</v>
      </c>
      <c r="E16" s="125" t="s">
        <v>342</v>
      </c>
      <c r="F16" s="126">
        <v>1.8379000000000001</v>
      </c>
      <c r="G16" s="124">
        <v>35849.119999999995</v>
      </c>
      <c r="H16" s="124">
        <v>35849.119999999995</v>
      </c>
      <c r="I16" s="124">
        <v>31611.919999999998</v>
      </c>
      <c r="J16" s="124">
        <v>2865.7</v>
      </c>
      <c r="K16" s="124">
        <v>0</v>
      </c>
      <c r="L16" s="124">
        <v>100</v>
      </c>
      <c r="M16" s="124">
        <v>15242.419999999998</v>
      </c>
      <c r="N16" s="124">
        <v>12148.919999999998</v>
      </c>
      <c r="O16" s="124">
        <v>903.49999999999977</v>
      </c>
      <c r="P16" s="124">
        <v>0</v>
      </c>
      <c r="Q16" s="124">
        <v>73</v>
      </c>
      <c r="R16" s="124">
        <v>2190</v>
      </c>
      <c r="S16" s="124">
        <v>4449.7187428699999</v>
      </c>
      <c r="T16" s="124">
        <v>3249.4556317873266</v>
      </c>
      <c r="U16" s="124">
        <v>1200.263111082673</v>
      </c>
      <c r="V16" s="124">
        <v>8011.9963546631589</v>
      </c>
      <c r="W16" s="124">
        <v>1389.8655671500001</v>
      </c>
      <c r="X16" s="124">
        <v>3503.1666893531587</v>
      </c>
      <c r="Y16" s="124">
        <v>3118.96409816</v>
      </c>
      <c r="Z16" s="124">
        <v>3525.4494141999999</v>
      </c>
      <c r="AA16" s="127">
        <v>0.21199999999999999</v>
      </c>
      <c r="AB16" s="128">
        <v>253000</v>
      </c>
      <c r="AC16" s="128">
        <v>215000</v>
      </c>
      <c r="AD16" s="128">
        <v>600000</v>
      </c>
      <c r="AE16" s="125" t="s">
        <v>340</v>
      </c>
      <c r="AF16" s="122">
        <v>2025</v>
      </c>
      <c r="AG16" s="130">
        <v>595.02550350000001</v>
      </c>
      <c r="AH16" s="130">
        <v>594.81347790000007</v>
      </c>
      <c r="AI16" s="130">
        <v>0.21202559999994719</v>
      </c>
      <c r="AJ16" s="130">
        <v>0</v>
      </c>
      <c r="AK16" s="130">
        <v>0.19259144468830575</v>
      </c>
      <c r="AL16" s="130">
        <v>0</v>
      </c>
      <c r="AM16" s="138"/>
      <c r="AN16" s="182"/>
      <c r="AO16" s="183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27"/>
      <c r="BK16" s="184"/>
      <c r="BL16" s="184"/>
      <c r="BM16" s="184"/>
      <c r="BN16" s="182"/>
      <c r="BO16" s="182"/>
      <c r="BP16" s="182"/>
      <c r="BQ16" s="185"/>
      <c r="BR16" s="186"/>
      <c r="BS16" s="187"/>
      <c r="BT16" s="187"/>
      <c r="BU16" s="187"/>
      <c r="BV16" s="187"/>
      <c r="BW16" s="187"/>
      <c r="BX16" s="187"/>
      <c r="BY16" s="138"/>
      <c r="BZ16" s="182"/>
      <c r="CA16" s="183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</row>
    <row r="17" spans="1:92" s="181" customFormat="1" ht="10.5" customHeight="1" x14ac:dyDescent="0.25">
      <c r="A17" s="122">
        <v>12</v>
      </c>
      <c r="B17" s="123" t="s">
        <v>451</v>
      </c>
      <c r="C17" s="122" t="s">
        <v>349</v>
      </c>
      <c r="D17" s="124">
        <v>1134</v>
      </c>
      <c r="E17" s="125" t="s">
        <v>342</v>
      </c>
      <c r="F17" s="126">
        <v>1.0992999999999999</v>
      </c>
      <c r="G17" s="124">
        <v>31941</v>
      </c>
      <c r="H17" s="124">
        <v>27721.360000000001</v>
      </c>
      <c r="I17" s="124">
        <v>23400</v>
      </c>
      <c r="J17" s="124">
        <v>2746.36</v>
      </c>
      <c r="K17" s="124">
        <v>0</v>
      </c>
      <c r="L17" s="124">
        <v>105</v>
      </c>
      <c r="M17" s="124">
        <v>20460.359999999946</v>
      </c>
      <c r="N17" s="124">
        <v>16138.999999999947</v>
      </c>
      <c r="O17" s="124">
        <v>2746.36</v>
      </c>
      <c r="P17" s="124">
        <v>0</v>
      </c>
      <c r="Q17" s="124">
        <v>105</v>
      </c>
      <c r="R17" s="124">
        <v>1575</v>
      </c>
      <c r="S17" s="124">
        <v>4921.409284681451</v>
      </c>
      <c r="T17" s="124">
        <v>2219.5727133789183</v>
      </c>
      <c r="U17" s="124">
        <v>2701.8365713025328</v>
      </c>
      <c r="V17" s="124">
        <v>7590.5600623619821</v>
      </c>
      <c r="W17" s="124">
        <v>912.23094366999999</v>
      </c>
      <c r="X17" s="124">
        <v>5745.8827126019823</v>
      </c>
      <c r="Y17" s="124">
        <v>932.44640608999998</v>
      </c>
      <c r="Z17" s="124">
        <v>2499.9159594400003</v>
      </c>
      <c r="AA17" s="127">
        <v>0.21199999999999999</v>
      </c>
      <c r="AB17" s="128">
        <v>270000</v>
      </c>
      <c r="AC17" s="128">
        <v>210000</v>
      </c>
      <c r="AD17" s="128">
        <v>1000000</v>
      </c>
      <c r="AE17" s="125" t="s">
        <v>340</v>
      </c>
      <c r="AF17" s="122">
        <v>2026</v>
      </c>
      <c r="AG17" s="130">
        <v>2002.8558843819999</v>
      </c>
      <c r="AH17" s="130">
        <v>1582.8558843819999</v>
      </c>
      <c r="AI17" s="130">
        <v>420</v>
      </c>
      <c r="AJ17" s="130">
        <v>0</v>
      </c>
      <c r="AK17" s="130">
        <v>259.71243304319211</v>
      </c>
      <c r="AL17" s="130">
        <v>0</v>
      </c>
      <c r="AM17" s="138"/>
      <c r="AN17" s="182"/>
      <c r="AO17" s="183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27"/>
      <c r="BK17" s="184"/>
      <c r="BL17" s="184"/>
      <c r="BM17" s="184"/>
      <c r="BN17" s="182"/>
      <c r="BO17" s="182"/>
      <c r="BP17" s="182"/>
      <c r="BQ17" s="185"/>
      <c r="BR17" s="186"/>
      <c r="BS17" s="187"/>
      <c r="BT17" s="187"/>
      <c r="BU17" s="187"/>
      <c r="BV17" s="187"/>
      <c r="BW17" s="187"/>
      <c r="BX17" s="187"/>
      <c r="BY17" s="138"/>
      <c r="BZ17" s="182"/>
      <c r="CA17" s="183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</row>
    <row r="18" spans="1:92" s="181" customFormat="1" ht="31.5" x14ac:dyDescent="0.25">
      <c r="A18" s="122">
        <v>13</v>
      </c>
      <c r="B18" s="123" t="s">
        <v>354</v>
      </c>
      <c r="C18" s="122" t="s">
        <v>349</v>
      </c>
      <c r="D18" s="124">
        <v>1691</v>
      </c>
      <c r="E18" s="125" t="s">
        <v>355</v>
      </c>
      <c r="F18" s="126">
        <v>1.0590999999999999</v>
      </c>
      <c r="G18" s="124">
        <v>23803</v>
      </c>
      <c r="H18" s="124">
        <v>23803</v>
      </c>
      <c r="I18" s="124">
        <v>18348</v>
      </c>
      <c r="J18" s="124">
        <v>2200</v>
      </c>
      <c r="K18" s="124">
        <v>0</v>
      </c>
      <c r="L18" s="124">
        <v>217</v>
      </c>
      <c r="M18" s="124">
        <v>23803</v>
      </c>
      <c r="N18" s="124">
        <v>18348</v>
      </c>
      <c r="O18" s="124">
        <v>2200</v>
      </c>
      <c r="P18" s="124">
        <v>0</v>
      </c>
      <c r="Q18" s="124">
        <v>217</v>
      </c>
      <c r="R18" s="124">
        <v>3255</v>
      </c>
      <c r="S18" s="124">
        <v>4227.5155674422804</v>
      </c>
      <c r="T18" s="124">
        <v>0.6328800000001138</v>
      </c>
      <c r="U18" s="124">
        <v>4226.8826874422803</v>
      </c>
      <c r="V18" s="124">
        <v>9161.7949622996621</v>
      </c>
      <c r="W18" s="124">
        <v>0</v>
      </c>
      <c r="X18" s="124">
        <v>9161.7949622996621</v>
      </c>
      <c r="Y18" s="124">
        <v>0</v>
      </c>
      <c r="Z18" s="124">
        <v>0</v>
      </c>
      <c r="AA18" s="127">
        <v>0.23799999999999999</v>
      </c>
      <c r="AB18" s="128">
        <v>330000</v>
      </c>
      <c r="AC18" s="128">
        <v>320000</v>
      </c>
      <c r="AD18" s="128">
        <v>1740000</v>
      </c>
      <c r="AE18" s="125" t="s">
        <v>347</v>
      </c>
      <c r="AF18" s="122">
        <v>2028</v>
      </c>
      <c r="AG18" s="130">
        <v>0</v>
      </c>
      <c r="AH18" s="130">
        <v>0</v>
      </c>
      <c r="AI18" s="130">
        <v>0</v>
      </c>
      <c r="AJ18" s="130">
        <v>0</v>
      </c>
      <c r="AK18" s="130">
        <v>0</v>
      </c>
      <c r="AL18" s="130">
        <v>0</v>
      </c>
      <c r="AM18" s="138"/>
      <c r="AN18" s="182"/>
      <c r="AO18" s="183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27"/>
      <c r="BK18" s="184"/>
      <c r="BL18" s="184"/>
      <c r="BM18" s="184"/>
      <c r="BN18" s="182"/>
      <c r="BO18" s="182"/>
      <c r="BP18" s="182"/>
      <c r="BQ18" s="185"/>
      <c r="BR18" s="186"/>
      <c r="BS18" s="187"/>
      <c r="BT18" s="187"/>
      <c r="BU18" s="187"/>
      <c r="BV18" s="187"/>
      <c r="BW18" s="187"/>
      <c r="BX18" s="187"/>
      <c r="BY18" s="138"/>
      <c r="BZ18" s="182"/>
      <c r="CA18" s="183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</row>
    <row r="19" spans="1:92" s="181" customFormat="1" ht="10.5" customHeight="1" x14ac:dyDescent="0.25">
      <c r="A19" s="122">
        <v>14</v>
      </c>
      <c r="B19" s="123" t="s">
        <v>296</v>
      </c>
      <c r="C19" s="122" t="s">
        <v>349</v>
      </c>
      <c r="D19" s="124">
        <v>2090</v>
      </c>
      <c r="E19" s="125" t="s">
        <v>342</v>
      </c>
      <c r="F19" s="126">
        <v>2.7637</v>
      </c>
      <c r="G19" s="124">
        <v>42148.5</v>
      </c>
      <c r="H19" s="124">
        <v>42148.5</v>
      </c>
      <c r="I19" s="124">
        <v>34614.75</v>
      </c>
      <c r="J19" s="124">
        <v>4526</v>
      </c>
      <c r="K19" s="124">
        <v>0</v>
      </c>
      <c r="L19" s="124">
        <v>227</v>
      </c>
      <c r="M19" s="124">
        <v>42148.5</v>
      </c>
      <c r="N19" s="124">
        <v>34614.75</v>
      </c>
      <c r="O19" s="124">
        <v>4526</v>
      </c>
      <c r="P19" s="124">
        <v>0</v>
      </c>
      <c r="Q19" s="124">
        <v>227</v>
      </c>
      <c r="R19" s="124">
        <v>3007.75</v>
      </c>
      <c r="S19" s="124">
        <v>7556.2110308525416</v>
      </c>
      <c r="T19" s="124">
        <v>529.88248422692322</v>
      </c>
      <c r="U19" s="124">
        <v>7026.3285466256184</v>
      </c>
      <c r="V19" s="124">
        <v>11443.323779792316</v>
      </c>
      <c r="W19" s="124">
        <v>0</v>
      </c>
      <c r="X19" s="124">
        <v>11443.323779792316</v>
      </c>
      <c r="Y19" s="124">
        <v>0</v>
      </c>
      <c r="Z19" s="124">
        <v>0</v>
      </c>
      <c r="AA19" s="127">
        <v>0.23799999999999999</v>
      </c>
      <c r="AB19" s="128">
        <v>290000</v>
      </c>
      <c r="AC19" s="128">
        <v>100000</v>
      </c>
      <c r="AD19" s="128">
        <v>800000</v>
      </c>
      <c r="AE19" s="125" t="s">
        <v>347</v>
      </c>
      <c r="AF19" s="122">
        <v>2028</v>
      </c>
      <c r="AG19" s="130">
        <v>1215.4056993099994</v>
      </c>
      <c r="AH19" s="130">
        <v>1213.9256993099993</v>
      </c>
      <c r="AI19" s="130">
        <v>1.4800000000000182</v>
      </c>
      <c r="AJ19" s="130">
        <v>0</v>
      </c>
      <c r="AK19" s="130">
        <v>1.0802884072323113</v>
      </c>
      <c r="AL19" s="130">
        <v>0</v>
      </c>
      <c r="AM19" s="138"/>
      <c r="AN19" s="182"/>
      <c r="AO19" s="183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27"/>
      <c r="BK19" s="184"/>
      <c r="BL19" s="184"/>
      <c r="BM19" s="184"/>
      <c r="BN19" s="182"/>
      <c r="BO19" s="182"/>
      <c r="BP19" s="182"/>
      <c r="BQ19" s="185"/>
      <c r="BR19" s="186"/>
      <c r="BS19" s="187"/>
      <c r="BT19" s="187"/>
      <c r="BU19" s="187"/>
      <c r="BV19" s="187"/>
      <c r="BW19" s="187"/>
      <c r="BX19" s="187"/>
      <c r="BY19" s="138"/>
      <c r="BZ19" s="182"/>
      <c r="CA19" s="183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</row>
    <row r="20" spans="1:92" s="181" customFormat="1" ht="10.5" customHeight="1" x14ac:dyDescent="0.25">
      <c r="A20" s="122">
        <v>15</v>
      </c>
      <c r="B20" s="123" t="s">
        <v>411</v>
      </c>
      <c r="C20" s="122" t="s">
        <v>349</v>
      </c>
      <c r="D20" s="124">
        <v>839</v>
      </c>
      <c r="E20" s="125" t="s">
        <v>342</v>
      </c>
      <c r="F20" s="126">
        <v>1.4824999999999999</v>
      </c>
      <c r="G20" s="124">
        <v>12033.8</v>
      </c>
      <c r="H20" s="124">
        <v>12033.8</v>
      </c>
      <c r="I20" s="124">
        <v>11376.8</v>
      </c>
      <c r="J20" s="124">
        <v>657</v>
      </c>
      <c r="K20" s="124">
        <v>0</v>
      </c>
      <c r="L20" s="124">
        <v>0</v>
      </c>
      <c r="M20" s="124">
        <v>3507.1999999999985</v>
      </c>
      <c r="N20" s="124">
        <v>3102.0999999999985</v>
      </c>
      <c r="O20" s="124">
        <v>405.1</v>
      </c>
      <c r="P20" s="124">
        <v>0</v>
      </c>
      <c r="Q20" s="124">
        <v>0</v>
      </c>
      <c r="R20" s="124">
        <v>0</v>
      </c>
      <c r="S20" s="124">
        <v>1627.6877835939999</v>
      </c>
      <c r="T20" s="124">
        <v>1088.5024400311004</v>
      </c>
      <c r="U20" s="124">
        <v>539.18534356289945</v>
      </c>
      <c r="V20" s="124">
        <v>2789.16730005</v>
      </c>
      <c r="W20" s="124">
        <v>435.87680822000004</v>
      </c>
      <c r="X20" s="124">
        <v>962.78156839999997</v>
      </c>
      <c r="Y20" s="124">
        <v>1390.5089234300001</v>
      </c>
      <c r="Z20" s="124">
        <v>1273.0601131599999</v>
      </c>
      <c r="AA20" s="127">
        <v>0.21199999999999999</v>
      </c>
      <c r="AB20" s="128">
        <v>270000</v>
      </c>
      <c r="AC20" s="128">
        <v>248000</v>
      </c>
      <c r="AD20" s="128">
        <v>0</v>
      </c>
      <c r="AE20" s="125" t="s">
        <v>340</v>
      </c>
      <c r="AF20" s="122">
        <v>2025</v>
      </c>
      <c r="AG20" s="130">
        <v>197.248473011941</v>
      </c>
      <c r="AH20" s="130">
        <v>197.248473011941</v>
      </c>
      <c r="AI20" s="130">
        <v>0</v>
      </c>
      <c r="AJ20" s="130">
        <v>0</v>
      </c>
      <c r="AK20" s="130">
        <v>0</v>
      </c>
      <c r="AL20" s="130">
        <v>0</v>
      </c>
      <c r="AM20" s="138"/>
      <c r="AN20" s="182"/>
      <c r="AO20" s="183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27"/>
      <c r="BK20" s="184"/>
      <c r="BL20" s="184"/>
      <c r="BM20" s="184"/>
      <c r="BN20" s="182"/>
      <c r="BO20" s="182"/>
      <c r="BP20" s="182"/>
      <c r="BQ20" s="185"/>
      <c r="BR20" s="186"/>
      <c r="BS20" s="187"/>
      <c r="BT20" s="187"/>
      <c r="BU20" s="187"/>
      <c r="BV20" s="187"/>
      <c r="BW20" s="187"/>
      <c r="BX20" s="187"/>
      <c r="BY20" s="138"/>
      <c r="BZ20" s="182"/>
      <c r="CA20" s="183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</row>
    <row r="21" spans="1:92" s="181" customFormat="1" ht="10.5" customHeight="1" x14ac:dyDescent="0.25">
      <c r="A21" s="122">
        <v>16</v>
      </c>
      <c r="B21" s="123" t="s">
        <v>452</v>
      </c>
      <c r="C21" s="122" t="s">
        <v>349</v>
      </c>
      <c r="D21" s="124">
        <v>884</v>
      </c>
      <c r="E21" s="125" t="s">
        <v>342</v>
      </c>
      <c r="F21" s="126">
        <v>0.24440000000000001</v>
      </c>
      <c r="G21" s="124">
        <v>9353</v>
      </c>
      <c r="H21" s="124">
        <v>9277</v>
      </c>
      <c r="I21" s="124">
        <v>7951</v>
      </c>
      <c r="J21" s="124">
        <v>381</v>
      </c>
      <c r="K21" s="124">
        <v>0</v>
      </c>
      <c r="L21" s="124">
        <v>63</v>
      </c>
      <c r="M21" s="124">
        <v>9277</v>
      </c>
      <c r="N21" s="124">
        <v>7951</v>
      </c>
      <c r="O21" s="124">
        <v>381</v>
      </c>
      <c r="P21" s="124">
        <v>0</v>
      </c>
      <c r="Q21" s="124">
        <v>63</v>
      </c>
      <c r="R21" s="124">
        <v>945</v>
      </c>
      <c r="S21" s="124">
        <v>1710.7114165858245</v>
      </c>
      <c r="T21" s="124">
        <v>90.745610665039067</v>
      </c>
      <c r="U21" s="124">
        <v>1619.9658059207854</v>
      </c>
      <c r="V21" s="124">
        <v>4390.2995680864196</v>
      </c>
      <c r="W21" s="124">
        <v>0</v>
      </c>
      <c r="X21" s="124">
        <v>4390.2995680864196</v>
      </c>
      <c r="Y21" s="124">
        <v>0</v>
      </c>
      <c r="Z21" s="124">
        <v>482.77743917999999</v>
      </c>
      <c r="AA21" s="127">
        <v>0.23799999999999999</v>
      </c>
      <c r="AB21" s="128">
        <v>420000</v>
      </c>
      <c r="AC21" s="128">
        <v>340000</v>
      </c>
      <c r="AD21" s="128">
        <v>2300000</v>
      </c>
      <c r="AE21" s="125" t="s">
        <v>347</v>
      </c>
      <c r="AF21" s="122">
        <v>2028</v>
      </c>
      <c r="AG21" s="130">
        <v>976</v>
      </c>
      <c r="AH21" s="130">
        <v>976</v>
      </c>
      <c r="AI21" s="130">
        <v>0</v>
      </c>
      <c r="AJ21" s="130">
        <v>0</v>
      </c>
      <c r="AK21" s="130">
        <v>0</v>
      </c>
      <c r="AL21" s="130">
        <v>0</v>
      </c>
      <c r="AM21" s="138"/>
      <c r="AN21" s="182"/>
      <c r="AO21" s="183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27"/>
      <c r="BK21" s="184"/>
      <c r="BL21" s="184"/>
      <c r="BM21" s="184"/>
      <c r="BN21" s="182"/>
      <c r="BO21" s="182"/>
      <c r="BP21" s="182"/>
      <c r="BQ21" s="185"/>
      <c r="BR21" s="186"/>
      <c r="BS21" s="187"/>
      <c r="BT21" s="187"/>
      <c r="BU21" s="187"/>
      <c r="BV21" s="187"/>
      <c r="BW21" s="187"/>
      <c r="BX21" s="187"/>
      <c r="BY21" s="138"/>
      <c r="BZ21" s="182"/>
      <c r="CA21" s="183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</row>
    <row r="22" spans="1:92" s="181" customFormat="1" ht="10.5" customHeight="1" x14ac:dyDescent="0.25">
      <c r="A22" s="122">
        <v>17</v>
      </c>
      <c r="B22" s="123" t="s">
        <v>453</v>
      </c>
      <c r="C22" s="122" t="s">
        <v>454</v>
      </c>
      <c r="D22" s="124">
        <v>5079</v>
      </c>
      <c r="E22" s="125" t="s">
        <v>342</v>
      </c>
      <c r="F22" s="126">
        <v>16.8704</v>
      </c>
      <c r="G22" s="124">
        <v>409592</v>
      </c>
      <c r="H22" s="124">
        <v>363328</v>
      </c>
      <c r="I22" s="124">
        <v>321241</v>
      </c>
      <c r="J22" s="124">
        <v>14087</v>
      </c>
      <c r="K22" s="124">
        <v>0</v>
      </c>
      <c r="L22" s="124">
        <v>1000</v>
      </c>
      <c r="M22" s="124">
        <v>363328</v>
      </c>
      <c r="N22" s="124">
        <v>321241</v>
      </c>
      <c r="O22" s="124">
        <v>14087</v>
      </c>
      <c r="P22" s="124">
        <v>0</v>
      </c>
      <c r="Q22" s="124">
        <v>1000</v>
      </c>
      <c r="R22" s="124">
        <v>28000</v>
      </c>
      <c r="S22" s="124">
        <v>44630.379678801233</v>
      </c>
      <c r="T22" s="124">
        <v>0</v>
      </c>
      <c r="U22" s="124">
        <v>44630.379678801233</v>
      </c>
      <c r="V22" s="124">
        <v>79419.534780288741</v>
      </c>
      <c r="W22" s="124">
        <v>0</v>
      </c>
      <c r="X22" s="124">
        <v>79419.534780288741</v>
      </c>
      <c r="Y22" s="124">
        <v>0</v>
      </c>
      <c r="Z22" s="124">
        <v>0</v>
      </c>
      <c r="AA22" s="127">
        <v>0.23799999999999999</v>
      </c>
      <c r="AB22" s="128">
        <v>160000</v>
      </c>
      <c r="AC22" s="128">
        <v>225000</v>
      </c>
      <c r="AD22" s="128">
        <v>380000</v>
      </c>
      <c r="AE22" s="125" t="s">
        <v>347</v>
      </c>
      <c r="AF22" s="129" t="s">
        <v>455</v>
      </c>
      <c r="AG22" s="130">
        <v>5030.0000000000009</v>
      </c>
      <c r="AH22" s="130">
        <v>728</v>
      </c>
      <c r="AI22" s="130">
        <v>4302.0000000000009</v>
      </c>
      <c r="AJ22" s="130">
        <v>0</v>
      </c>
      <c r="AK22" s="130">
        <v>3561.125361344662</v>
      </c>
      <c r="AL22" s="130">
        <v>0</v>
      </c>
      <c r="AM22" s="138"/>
      <c r="AN22" s="182"/>
      <c r="AO22" s="183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27"/>
      <c r="BK22" s="184"/>
      <c r="BL22" s="184"/>
      <c r="BM22" s="184"/>
      <c r="BN22" s="182"/>
      <c r="BO22" s="182"/>
      <c r="BP22" s="182"/>
      <c r="BQ22" s="185"/>
      <c r="BR22" s="188"/>
      <c r="BS22" s="187"/>
      <c r="BT22" s="187"/>
      <c r="BU22" s="187"/>
      <c r="BV22" s="187"/>
      <c r="BW22" s="187"/>
      <c r="BX22" s="187"/>
      <c r="BY22" s="138"/>
      <c r="BZ22" s="182"/>
      <c r="CA22" s="183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</row>
    <row r="23" spans="1:92" s="181" customFormat="1" ht="10.5" customHeight="1" x14ac:dyDescent="0.25">
      <c r="A23" s="133"/>
      <c r="B23" s="159" t="s">
        <v>456</v>
      </c>
      <c r="C23" s="133"/>
      <c r="D23" s="135">
        <v>37895</v>
      </c>
      <c r="E23" s="133"/>
      <c r="F23" s="133"/>
      <c r="G23" s="135">
        <v>870689.02</v>
      </c>
      <c r="H23" s="135">
        <v>776088.88</v>
      </c>
      <c r="I23" s="135">
        <v>679266.57000000007</v>
      </c>
      <c r="J23" s="135">
        <v>46418.06</v>
      </c>
      <c r="K23" s="135">
        <v>0</v>
      </c>
      <c r="L23" s="135">
        <v>3104</v>
      </c>
      <c r="M23" s="135">
        <v>743779.67999999993</v>
      </c>
      <c r="N23" s="135">
        <v>640185.2699999999</v>
      </c>
      <c r="O23" s="135">
        <v>43996.66</v>
      </c>
      <c r="P23" s="135">
        <v>0</v>
      </c>
      <c r="Q23" s="135">
        <v>3060</v>
      </c>
      <c r="R23" s="135">
        <v>59597.75</v>
      </c>
      <c r="S23" s="135">
        <v>114308.53870272287</v>
      </c>
      <c r="T23" s="135">
        <v>12558.186551355368</v>
      </c>
      <c r="U23" s="135">
        <v>101750.35215136751</v>
      </c>
      <c r="V23" s="135">
        <v>235763.1330136297</v>
      </c>
      <c r="W23" s="135">
        <v>5726.7582865700006</v>
      </c>
      <c r="X23" s="135">
        <v>224118.00675390975</v>
      </c>
      <c r="Y23" s="135">
        <v>5918.3679731500006</v>
      </c>
      <c r="Z23" s="135">
        <v>8884.3147559699992</v>
      </c>
      <c r="AA23" s="136"/>
      <c r="AB23" s="135"/>
      <c r="AC23" s="135"/>
      <c r="AD23" s="135"/>
      <c r="AE23" s="136"/>
      <c r="AF23" s="136"/>
      <c r="AG23" s="137">
        <v>17194.700247123943</v>
      </c>
      <c r="AH23" s="137">
        <v>11785.199680723941</v>
      </c>
      <c r="AI23" s="137">
        <v>5409.5005664000009</v>
      </c>
      <c r="AJ23" s="137">
        <v>0</v>
      </c>
      <c r="AK23" s="137">
        <v>4347.9420067469409</v>
      </c>
      <c r="AL23" s="137">
        <v>0</v>
      </c>
      <c r="AM23" s="189"/>
      <c r="AN23" s="190"/>
      <c r="AO23" s="190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91"/>
      <c r="BK23" s="189"/>
      <c r="BL23" s="189"/>
      <c r="BM23" s="189"/>
      <c r="BN23" s="191"/>
      <c r="BO23" s="191"/>
      <c r="BP23" s="191"/>
      <c r="BQ23" s="191"/>
      <c r="BR23" s="191"/>
      <c r="BS23" s="192"/>
      <c r="BT23" s="192"/>
      <c r="BU23" s="192"/>
      <c r="BV23" s="192"/>
      <c r="BW23" s="192"/>
      <c r="BX23" s="192"/>
      <c r="BY23" s="189"/>
      <c r="BZ23" s="190"/>
      <c r="CA23" s="190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</row>
    <row r="24" spans="1:92" s="181" customFormat="1" ht="10.5" customHeight="1" x14ac:dyDescent="0.25">
      <c r="A24" s="172"/>
      <c r="B24" s="119" t="s">
        <v>457</v>
      </c>
      <c r="C24" s="172"/>
      <c r="D24" s="171"/>
      <c r="E24" s="172"/>
      <c r="F24" s="172"/>
      <c r="G24" s="172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71"/>
      <c r="T24" s="171"/>
      <c r="U24" s="171"/>
      <c r="V24" s="171"/>
      <c r="W24" s="171"/>
      <c r="X24" s="171"/>
      <c r="Y24" s="171"/>
      <c r="Z24" s="171"/>
      <c r="AA24" s="171"/>
      <c r="AB24" s="120"/>
      <c r="AC24" s="120"/>
      <c r="AD24" s="120"/>
      <c r="AE24" s="171"/>
      <c r="AF24" s="171"/>
      <c r="AG24" s="171"/>
      <c r="AH24" s="171"/>
      <c r="AI24" s="121"/>
      <c r="AJ24" s="121"/>
      <c r="AK24" s="121"/>
      <c r="AL24" s="121"/>
      <c r="AM24" s="175"/>
      <c r="AN24" s="176"/>
      <c r="AO24" s="176"/>
      <c r="AP24" s="176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5"/>
      <c r="BC24" s="175"/>
      <c r="BD24" s="175"/>
      <c r="BE24" s="175"/>
      <c r="BF24" s="175"/>
      <c r="BG24" s="175"/>
      <c r="BH24" s="175"/>
      <c r="BI24" s="175"/>
      <c r="BJ24" s="175"/>
      <c r="BK24" s="178"/>
      <c r="BL24" s="178"/>
      <c r="BM24" s="178"/>
      <c r="BN24" s="175"/>
      <c r="BO24" s="179"/>
      <c r="BP24" s="179"/>
      <c r="BQ24" s="179"/>
      <c r="BR24" s="175"/>
      <c r="BS24" s="175"/>
      <c r="BT24" s="175"/>
      <c r="BU24" s="180"/>
      <c r="BV24" s="180"/>
      <c r="BW24" s="180"/>
      <c r="BX24" s="180"/>
      <c r="BY24" s="175"/>
      <c r="BZ24" s="176"/>
      <c r="CA24" s="176"/>
      <c r="CB24" s="176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5"/>
    </row>
    <row r="25" spans="1:92" s="181" customFormat="1" ht="18" customHeight="1" x14ac:dyDescent="0.25">
      <c r="A25" s="122">
        <v>18</v>
      </c>
      <c r="B25" s="123" t="s">
        <v>298</v>
      </c>
      <c r="C25" s="122" t="s">
        <v>297</v>
      </c>
      <c r="D25" s="124">
        <v>14245</v>
      </c>
      <c r="E25" s="125" t="s">
        <v>339</v>
      </c>
      <c r="F25" s="126">
        <v>164.42689999999999</v>
      </c>
      <c r="G25" s="124">
        <v>1290666.2000000002</v>
      </c>
      <c r="H25" s="124">
        <v>1073964.0506965017</v>
      </c>
      <c r="I25" s="124">
        <v>964018.54069650185</v>
      </c>
      <c r="J25" s="124">
        <v>66765.41</v>
      </c>
      <c r="K25" s="124">
        <v>0</v>
      </c>
      <c r="L25" s="124">
        <v>2903</v>
      </c>
      <c r="M25" s="124">
        <v>961460.35069650179</v>
      </c>
      <c r="N25" s="124">
        <v>859938.7406965018</v>
      </c>
      <c r="O25" s="124">
        <v>58399.61</v>
      </c>
      <c r="P25" s="124">
        <v>0</v>
      </c>
      <c r="Q25" s="124">
        <v>2822</v>
      </c>
      <c r="R25" s="124">
        <v>43122</v>
      </c>
      <c r="S25" s="124">
        <v>164405.59192651851</v>
      </c>
      <c r="T25" s="124">
        <v>14699.768596553884</v>
      </c>
      <c r="U25" s="124">
        <v>149705.82332996462</v>
      </c>
      <c r="V25" s="124">
        <v>210816.63299865864</v>
      </c>
      <c r="W25" s="124">
        <v>1350.8387094199998</v>
      </c>
      <c r="X25" s="124">
        <v>198345.77699637864</v>
      </c>
      <c r="Y25" s="124">
        <v>11120.01729286</v>
      </c>
      <c r="Z25" s="124">
        <v>10190.274257820001</v>
      </c>
      <c r="AA25" s="127">
        <v>0.21199999999999999</v>
      </c>
      <c r="AB25" s="128">
        <v>160000</v>
      </c>
      <c r="AC25" s="128">
        <v>200000</v>
      </c>
      <c r="AD25" s="128">
        <v>1540000</v>
      </c>
      <c r="AE25" s="125" t="s">
        <v>340</v>
      </c>
      <c r="AF25" s="129" t="s">
        <v>458</v>
      </c>
      <c r="AG25" s="130">
        <v>78.247758684511197</v>
      </c>
      <c r="AH25" s="130">
        <v>67.840394081034972</v>
      </c>
      <c r="AI25" s="130">
        <v>10.407364603476225</v>
      </c>
      <c r="AJ25" s="130">
        <v>0</v>
      </c>
      <c r="AK25" s="130">
        <v>5.1083637513265012</v>
      </c>
      <c r="AL25" s="130">
        <v>0</v>
      </c>
      <c r="AM25" s="138"/>
      <c r="AN25" s="182"/>
      <c r="AO25" s="183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27"/>
      <c r="BK25" s="184"/>
      <c r="BL25" s="184"/>
      <c r="BM25" s="184"/>
      <c r="BN25" s="182"/>
      <c r="BO25" s="182"/>
      <c r="BP25" s="182"/>
      <c r="BQ25" s="185"/>
      <c r="BR25" s="188"/>
      <c r="BS25" s="187"/>
      <c r="BT25" s="187"/>
      <c r="BU25" s="187"/>
      <c r="BV25" s="187"/>
      <c r="BW25" s="187"/>
      <c r="BX25" s="187"/>
      <c r="BY25" s="138"/>
      <c r="BZ25" s="182"/>
      <c r="CA25" s="183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</row>
    <row r="26" spans="1:92" s="181" customFormat="1" ht="10.5" customHeight="1" x14ac:dyDescent="0.25">
      <c r="A26" s="172"/>
      <c r="B26" s="119" t="s">
        <v>459</v>
      </c>
      <c r="C26" s="172"/>
      <c r="D26" s="171"/>
      <c r="E26" s="172"/>
      <c r="F26" s="172"/>
      <c r="G26" s="172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71"/>
      <c r="T26" s="171"/>
      <c r="U26" s="171"/>
      <c r="V26" s="171"/>
      <c r="W26" s="171"/>
      <c r="X26" s="171"/>
      <c r="Y26" s="171"/>
      <c r="Z26" s="171"/>
      <c r="AA26" s="171"/>
      <c r="AB26" s="120"/>
      <c r="AC26" s="120"/>
      <c r="AD26" s="120"/>
      <c r="AE26" s="171"/>
      <c r="AF26" s="171"/>
      <c r="AG26" s="171"/>
      <c r="AH26" s="171"/>
      <c r="AI26" s="121"/>
      <c r="AJ26" s="121"/>
      <c r="AK26" s="121"/>
      <c r="AL26" s="121"/>
      <c r="AM26" s="175"/>
      <c r="AN26" s="176"/>
      <c r="AO26" s="176"/>
      <c r="AP26" s="176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5"/>
      <c r="BC26" s="175"/>
      <c r="BD26" s="175"/>
      <c r="BE26" s="175"/>
      <c r="BF26" s="175"/>
      <c r="BG26" s="175"/>
      <c r="BH26" s="175"/>
      <c r="BI26" s="175"/>
      <c r="BJ26" s="175"/>
      <c r="BK26" s="178"/>
      <c r="BL26" s="178"/>
      <c r="BM26" s="178"/>
      <c r="BN26" s="175"/>
      <c r="BO26" s="179"/>
      <c r="BP26" s="179"/>
      <c r="BQ26" s="179"/>
      <c r="BR26" s="175"/>
      <c r="BS26" s="175"/>
      <c r="BT26" s="175"/>
      <c r="BU26" s="180"/>
      <c r="BV26" s="180"/>
      <c r="BW26" s="180"/>
      <c r="BX26" s="180"/>
      <c r="BY26" s="175"/>
      <c r="BZ26" s="176"/>
      <c r="CA26" s="176"/>
      <c r="CB26" s="176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5"/>
    </row>
    <row r="27" spans="1:92" s="181" customFormat="1" ht="10.5" customHeight="1" x14ac:dyDescent="0.25">
      <c r="A27" s="122">
        <v>19</v>
      </c>
      <c r="B27" s="123" t="s">
        <v>412</v>
      </c>
      <c r="C27" s="122" t="s">
        <v>359</v>
      </c>
      <c r="D27" s="124">
        <v>6799</v>
      </c>
      <c r="E27" s="125" t="s">
        <v>342</v>
      </c>
      <c r="F27" s="126">
        <v>26.09</v>
      </c>
      <c r="G27" s="124">
        <v>299700.8</v>
      </c>
      <c r="H27" s="124">
        <v>299700.8</v>
      </c>
      <c r="I27" s="124">
        <v>225918.19999999998</v>
      </c>
      <c r="J27" s="124">
        <v>22552.3</v>
      </c>
      <c r="K27" s="124">
        <v>0</v>
      </c>
      <c r="L27" s="124">
        <v>3442</v>
      </c>
      <c r="M27" s="124">
        <v>274828</v>
      </c>
      <c r="N27" s="124">
        <v>200584.09999999998</v>
      </c>
      <c r="O27" s="124">
        <v>21803.9</v>
      </c>
      <c r="P27" s="124">
        <v>0</v>
      </c>
      <c r="Q27" s="124">
        <v>3187</v>
      </c>
      <c r="R27" s="124">
        <v>52440</v>
      </c>
      <c r="S27" s="124">
        <v>34790.362229228616</v>
      </c>
      <c r="T27" s="124">
        <v>2274.1319741878906</v>
      </c>
      <c r="U27" s="124">
        <v>32516.230255040726</v>
      </c>
      <c r="V27" s="124">
        <v>48521.93934502262</v>
      </c>
      <c r="W27" s="124">
        <v>1900.8290145800001</v>
      </c>
      <c r="X27" s="124">
        <v>45200.310054022622</v>
      </c>
      <c r="Y27" s="124">
        <v>1420.80027642</v>
      </c>
      <c r="Z27" s="124">
        <v>2465.5514867100001</v>
      </c>
      <c r="AA27" s="127">
        <v>0.21199999999999999</v>
      </c>
      <c r="AB27" s="128">
        <v>161000</v>
      </c>
      <c r="AC27" s="128">
        <v>130000</v>
      </c>
      <c r="AD27" s="128">
        <v>500000</v>
      </c>
      <c r="AE27" s="125" t="s">
        <v>340</v>
      </c>
      <c r="AF27" s="129" t="s">
        <v>460</v>
      </c>
      <c r="AG27" s="130">
        <v>861.68466246881349</v>
      </c>
      <c r="AH27" s="130">
        <v>854.17034273881347</v>
      </c>
      <c r="AI27" s="130">
        <v>7.5143197300000111</v>
      </c>
      <c r="AJ27" s="130">
        <v>0</v>
      </c>
      <c r="AK27" s="130">
        <v>6.8255611239894591</v>
      </c>
      <c r="AL27" s="130">
        <v>0</v>
      </c>
      <c r="AM27" s="138"/>
      <c r="AN27" s="182"/>
      <c r="AO27" s="183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27"/>
      <c r="BK27" s="184"/>
      <c r="BL27" s="184"/>
      <c r="BM27" s="184"/>
      <c r="BN27" s="182"/>
      <c r="BO27" s="182"/>
      <c r="BP27" s="182"/>
      <c r="BQ27" s="185"/>
      <c r="BR27" s="188"/>
      <c r="BS27" s="187"/>
      <c r="BT27" s="187"/>
      <c r="BU27" s="187"/>
      <c r="BV27" s="187"/>
      <c r="BW27" s="187"/>
      <c r="BX27" s="187"/>
      <c r="BY27" s="138"/>
      <c r="BZ27" s="182"/>
      <c r="CA27" s="183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</row>
    <row r="28" spans="1:92" s="181" customFormat="1" ht="10.5" customHeight="1" x14ac:dyDescent="0.25">
      <c r="A28" s="172"/>
      <c r="B28" s="119" t="s">
        <v>461</v>
      </c>
      <c r="C28" s="172"/>
      <c r="D28" s="171"/>
      <c r="E28" s="172"/>
      <c r="F28" s="172"/>
      <c r="G28" s="172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71"/>
      <c r="T28" s="171"/>
      <c r="U28" s="171"/>
      <c r="V28" s="171"/>
      <c r="W28" s="171"/>
      <c r="X28" s="171"/>
      <c r="Y28" s="171"/>
      <c r="Z28" s="171"/>
      <c r="AA28" s="171"/>
      <c r="AB28" s="120"/>
      <c r="AC28" s="120"/>
      <c r="AD28" s="120"/>
      <c r="AE28" s="171"/>
      <c r="AF28" s="171"/>
      <c r="AG28" s="171"/>
      <c r="AH28" s="171"/>
      <c r="AI28" s="121"/>
      <c r="AJ28" s="121"/>
      <c r="AK28" s="121"/>
      <c r="AL28" s="121"/>
      <c r="AM28" s="175"/>
      <c r="AN28" s="176"/>
      <c r="AO28" s="176"/>
      <c r="AP28" s="176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5"/>
      <c r="BC28" s="175"/>
      <c r="BD28" s="175"/>
      <c r="BE28" s="175"/>
      <c r="BF28" s="175"/>
      <c r="BG28" s="175"/>
      <c r="BH28" s="175"/>
      <c r="BI28" s="175"/>
      <c r="BJ28" s="175"/>
      <c r="BK28" s="178"/>
      <c r="BL28" s="178"/>
      <c r="BM28" s="178"/>
      <c r="BN28" s="175"/>
      <c r="BO28" s="179"/>
      <c r="BP28" s="179"/>
      <c r="BQ28" s="179"/>
      <c r="BR28" s="175"/>
      <c r="BS28" s="175"/>
      <c r="BT28" s="175"/>
      <c r="BU28" s="180"/>
      <c r="BV28" s="180"/>
      <c r="BW28" s="180"/>
      <c r="BX28" s="180"/>
      <c r="BY28" s="175"/>
      <c r="BZ28" s="176"/>
      <c r="CA28" s="176"/>
      <c r="CB28" s="176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5"/>
    </row>
    <row r="29" spans="1:92" s="181" customFormat="1" ht="10.5" customHeight="1" x14ac:dyDescent="0.25">
      <c r="A29" s="122">
        <v>20</v>
      </c>
      <c r="B29" s="123" t="s">
        <v>413</v>
      </c>
      <c r="C29" s="122" t="s">
        <v>462</v>
      </c>
      <c r="D29" s="124">
        <v>33313</v>
      </c>
      <c r="E29" s="125" t="s">
        <v>342</v>
      </c>
      <c r="F29" s="126">
        <v>169.77189999999999</v>
      </c>
      <c r="G29" s="124">
        <v>1885284.7400000005</v>
      </c>
      <c r="H29" s="124">
        <v>1827864.7400000005</v>
      </c>
      <c r="I29" s="124">
        <v>1542172.61</v>
      </c>
      <c r="J29" s="124">
        <v>112802.43000000004</v>
      </c>
      <c r="K29" s="124">
        <v>1500</v>
      </c>
      <c r="L29" s="124">
        <v>11517</v>
      </c>
      <c r="M29" s="124">
        <v>1697702</v>
      </c>
      <c r="N29" s="124">
        <v>1418159.6</v>
      </c>
      <c r="O29" s="124">
        <v>108152.70000000003</v>
      </c>
      <c r="P29" s="124">
        <v>0</v>
      </c>
      <c r="Q29" s="124">
        <v>11517</v>
      </c>
      <c r="R29" s="124">
        <v>171389.7</v>
      </c>
      <c r="S29" s="124">
        <v>206464.64495336491</v>
      </c>
      <c r="T29" s="124">
        <v>8429.1641620443843</v>
      </c>
      <c r="U29" s="124">
        <v>198035.48079132053</v>
      </c>
      <c r="V29" s="124">
        <v>331877.75485934038</v>
      </c>
      <c r="W29" s="124">
        <v>4140.9677232700005</v>
      </c>
      <c r="X29" s="124">
        <v>316795.67704122036</v>
      </c>
      <c r="Y29" s="124">
        <v>10941.110094850001</v>
      </c>
      <c r="Z29" s="124">
        <v>6206.552001850001</v>
      </c>
      <c r="AA29" s="127">
        <v>0.21199999999999999</v>
      </c>
      <c r="AB29" s="128">
        <v>144000</v>
      </c>
      <c r="AC29" s="128">
        <v>146000</v>
      </c>
      <c r="AD29" s="128">
        <v>300000</v>
      </c>
      <c r="AE29" s="125" t="s">
        <v>340</v>
      </c>
      <c r="AF29" s="129" t="s">
        <v>463</v>
      </c>
      <c r="AG29" s="130">
        <v>10973.872297864216</v>
      </c>
      <c r="AH29" s="130">
        <v>9894.2700067087662</v>
      </c>
      <c r="AI29" s="130">
        <v>1079.6022911554501</v>
      </c>
      <c r="AJ29" s="130">
        <v>0</v>
      </c>
      <c r="AK29" s="130">
        <v>325.92724451252133</v>
      </c>
      <c r="AL29" s="130">
        <v>0</v>
      </c>
      <c r="AM29" s="138"/>
      <c r="AN29" s="182"/>
      <c r="AO29" s="183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27"/>
      <c r="BK29" s="184"/>
      <c r="BL29" s="184"/>
      <c r="BM29" s="184"/>
      <c r="BN29" s="182"/>
      <c r="BO29" s="182"/>
      <c r="BP29" s="182"/>
      <c r="BQ29" s="185"/>
      <c r="BR29" s="188"/>
      <c r="BS29" s="187"/>
      <c r="BT29" s="187"/>
      <c r="BU29" s="187"/>
      <c r="BV29" s="187"/>
      <c r="BW29" s="187"/>
      <c r="BX29" s="187"/>
      <c r="BY29" s="138"/>
      <c r="BZ29" s="182"/>
      <c r="CA29" s="183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</row>
    <row r="30" spans="1:92" s="181" customFormat="1" ht="10.5" customHeight="1" x14ac:dyDescent="0.25">
      <c r="A30" s="122">
        <v>21</v>
      </c>
      <c r="B30" s="123" t="s">
        <v>361</v>
      </c>
      <c r="C30" s="122" t="s">
        <v>360</v>
      </c>
      <c r="D30" s="124">
        <v>555</v>
      </c>
      <c r="E30" s="125" t="s">
        <v>342</v>
      </c>
      <c r="F30" s="126">
        <v>3.3304999999999998</v>
      </c>
      <c r="G30" s="124">
        <v>33691.829999999994</v>
      </c>
      <c r="H30" s="124">
        <v>33691.829999999994</v>
      </c>
      <c r="I30" s="124">
        <v>27688.17</v>
      </c>
      <c r="J30" s="124">
        <v>1585.21</v>
      </c>
      <c r="K30" s="124">
        <v>0</v>
      </c>
      <c r="L30" s="124">
        <v>311</v>
      </c>
      <c r="M30" s="124">
        <v>5204.37</v>
      </c>
      <c r="N30" s="124">
        <v>0</v>
      </c>
      <c r="O30" s="124">
        <v>785.92000000000007</v>
      </c>
      <c r="P30" s="124">
        <v>0</v>
      </c>
      <c r="Q30" s="124">
        <v>189</v>
      </c>
      <c r="R30" s="124">
        <v>4418.45</v>
      </c>
      <c r="S30" s="124">
        <v>2351.0295115222066</v>
      </c>
      <c r="T30" s="124">
        <v>2172.030150940197</v>
      </c>
      <c r="U30" s="124">
        <v>178.99936058200942</v>
      </c>
      <c r="V30" s="124">
        <v>2016.3143592199999</v>
      </c>
      <c r="W30" s="124">
        <v>62.759396680000002</v>
      </c>
      <c r="X30" s="124">
        <v>290.44335553999986</v>
      </c>
      <c r="Y30" s="124">
        <v>1663.111607</v>
      </c>
      <c r="Z30" s="124">
        <v>1195.8502394300001</v>
      </c>
      <c r="AA30" s="127">
        <v>0.21199999999999999</v>
      </c>
      <c r="AB30" s="128">
        <v>0</v>
      </c>
      <c r="AC30" s="128">
        <v>139000</v>
      </c>
      <c r="AD30" s="128">
        <v>850000</v>
      </c>
      <c r="AE30" s="125" t="s">
        <v>340</v>
      </c>
      <c r="AF30" s="129" t="s">
        <v>464</v>
      </c>
      <c r="AG30" s="130">
        <v>249.1390115010291</v>
      </c>
      <c r="AH30" s="130">
        <v>249.1390115010291</v>
      </c>
      <c r="AI30" s="130">
        <v>0</v>
      </c>
      <c r="AJ30" s="130">
        <v>0</v>
      </c>
      <c r="AK30" s="130">
        <v>0</v>
      </c>
      <c r="AL30" s="130">
        <v>0</v>
      </c>
      <c r="AM30" s="138"/>
      <c r="AN30" s="182"/>
      <c r="AO30" s="183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27"/>
      <c r="BK30" s="184"/>
      <c r="BL30" s="184"/>
      <c r="BM30" s="184"/>
      <c r="BN30" s="182"/>
      <c r="BO30" s="182"/>
      <c r="BP30" s="182"/>
      <c r="BQ30" s="185"/>
      <c r="BR30" s="188"/>
      <c r="BS30" s="187"/>
      <c r="BT30" s="187"/>
      <c r="BU30" s="187"/>
      <c r="BV30" s="187"/>
      <c r="BW30" s="187"/>
      <c r="BX30" s="187"/>
      <c r="BY30" s="138"/>
      <c r="BZ30" s="182"/>
      <c r="CA30" s="183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</row>
    <row r="31" spans="1:92" s="181" customFormat="1" ht="10.5" customHeight="1" x14ac:dyDescent="0.25">
      <c r="A31" s="122">
        <v>22</v>
      </c>
      <c r="B31" s="123" t="s">
        <v>363</v>
      </c>
      <c r="C31" s="122" t="s">
        <v>360</v>
      </c>
      <c r="D31" s="124">
        <v>2916</v>
      </c>
      <c r="E31" s="125" t="s">
        <v>342</v>
      </c>
      <c r="F31" s="126">
        <v>4.7275</v>
      </c>
      <c r="G31" s="124">
        <v>108496.40000000001</v>
      </c>
      <c r="H31" s="124">
        <v>108496.40000000001</v>
      </c>
      <c r="I31" s="124">
        <v>89931.83</v>
      </c>
      <c r="J31" s="124">
        <v>5184.8700000000008</v>
      </c>
      <c r="K31" s="124">
        <v>0</v>
      </c>
      <c r="L31" s="124">
        <v>917</v>
      </c>
      <c r="M31" s="124">
        <v>86668.479999999996</v>
      </c>
      <c r="N31" s="124">
        <v>65327.5</v>
      </c>
      <c r="O31" s="124">
        <v>4900.9800000000005</v>
      </c>
      <c r="P31" s="124">
        <v>0</v>
      </c>
      <c r="Q31" s="124">
        <v>869</v>
      </c>
      <c r="R31" s="124">
        <v>16440</v>
      </c>
      <c r="S31" s="124">
        <v>10165.866019196932</v>
      </c>
      <c r="T31" s="124">
        <v>2947.2487000718247</v>
      </c>
      <c r="U31" s="124">
        <v>7218.6173191251073</v>
      </c>
      <c r="V31" s="124">
        <v>14190.916783342538</v>
      </c>
      <c r="W31" s="124">
        <v>442.36078132</v>
      </c>
      <c r="X31" s="124">
        <v>13274.656088522539</v>
      </c>
      <c r="Y31" s="124">
        <v>473.89991350000003</v>
      </c>
      <c r="Z31" s="124">
        <v>472.28081501000003</v>
      </c>
      <c r="AA31" s="127">
        <v>0.21199999999999999</v>
      </c>
      <c r="AB31" s="128">
        <v>150000</v>
      </c>
      <c r="AC31" s="128">
        <v>190000</v>
      </c>
      <c r="AD31" s="128">
        <v>350000</v>
      </c>
      <c r="AE31" s="125" t="s">
        <v>340</v>
      </c>
      <c r="AF31" s="129" t="s">
        <v>465</v>
      </c>
      <c r="AG31" s="130">
        <v>217.32345403091682</v>
      </c>
      <c r="AH31" s="130">
        <v>217.32345403091682</v>
      </c>
      <c r="AI31" s="130">
        <v>0</v>
      </c>
      <c r="AJ31" s="130">
        <v>0</v>
      </c>
      <c r="AK31" s="130">
        <v>0</v>
      </c>
      <c r="AL31" s="130">
        <v>0</v>
      </c>
      <c r="AM31" s="138"/>
      <c r="AN31" s="182"/>
      <c r="AO31" s="183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27"/>
      <c r="BK31" s="184"/>
      <c r="BL31" s="184"/>
      <c r="BM31" s="184"/>
      <c r="BN31" s="182"/>
      <c r="BO31" s="182"/>
      <c r="BP31" s="182"/>
      <c r="BQ31" s="185"/>
      <c r="BR31" s="188"/>
      <c r="BS31" s="187"/>
      <c r="BT31" s="187"/>
      <c r="BU31" s="187"/>
      <c r="BV31" s="187"/>
      <c r="BW31" s="187"/>
      <c r="BX31" s="187"/>
      <c r="BY31" s="138"/>
      <c r="BZ31" s="182"/>
      <c r="CA31" s="183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</row>
    <row r="32" spans="1:92" s="181" customFormat="1" ht="10.5" customHeight="1" x14ac:dyDescent="0.25">
      <c r="A32" s="122">
        <v>23</v>
      </c>
      <c r="B32" s="123" t="s">
        <v>364</v>
      </c>
      <c r="C32" s="122" t="s">
        <v>360</v>
      </c>
      <c r="D32" s="124">
        <v>1064</v>
      </c>
      <c r="E32" s="125" t="s">
        <v>342</v>
      </c>
      <c r="F32" s="126">
        <v>68.6798</v>
      </c>
      <c r="G32" s="124">
        <v>224001.19999999998</v>
      </c>
      <c r="H32" s="124">
        <v>224001.19999999998</v>
      </c>
      <c r="I32" s="124">
        <v>222715.33999999997</v>
      </c>
      <c r="J32" s="124">
        <v>1285.8599999999999</v>
      </c>
      <c r="K32" s="124">
        <v>0</v>
      </c>
      <c r="L32" s="124">
        <v>0</v>
      </c>
      <c r="M32" s="124">
        <v>223136.45999999996</v>
      </c>
      <c r="N32" s="124">
        <v>221850.59999999998</v>
      </c>
      <c r="O32" s="124">
        <v>1285.8599999999999</v>
      </c>
      <c r="P32" s="124">
        <v>0</v>
      </c>
      <c r="Q32" s="124">
        <v>0</v>
      </c>
      <c r="R32" s="124">
        <v>0</v>
      </c>
      <c r="S32" s="124">
        <v>27639.874218774436</v>
      </c>
      <c r="T32" s="124">
        <v>106.60135784529848</v>
      </c>
      <c r="U32" s="124">
        <v>27533.272860929137</v>
      </c>
      <c r="V32" s="124">
        <v>39907.231768119549</v>
      </c>
      <c r="W32" s="124">
        <v>100.89438</v>
      </c>
      <c r="X32" s="124">
        <v>39806.337388119551</v>
      </c>
      <c r="Y32" s="124">
        <v>0</v>
      </c>
      <c r="Z32" s="124">
        <v>0</v>
      </c>
      <c r="AA32" s="127">
        <v>0.21199999999999999</v>
      </c>
      <c r="AB32" s="128">
        <v>118000</v>
      </c>
      <c r="AC32" s="128">
        <v>100000</v>
      </c>
      <c r="AD32" s="128">
        <v>0</v>
      </c>
      <c r="AE32" s="125" t="s">
        <v>340</v>
      </c>
      <c r="AF32" s="129" t="s">
        <v>466</v>
      </c>
      <c r="AG32" s="130">
        <v>29.356662363474349</v>
      </c>
      <c r="AH32" s="130">
        <v>29.356662363474349</v>
      </c>
      <c r="AI32" s="130">
        <v>0</v>
      </c>
      <c r="AJ32" s="130">
        <v>0</v>
      </c>
      <c r="AK32" s="130">
        <v>0</v>
      </c>
      <c r="AL32" s="130">
        <v>0</v>
      </c>
      <c r="AM32" s="138"/>
      <c r="AN32" s="182"/>
      <c r="AO32" s="183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27"/>
      <c r="BK32" s="184"/>
      <c r="BL32" s="184"/>
      <c r="BM32" s="184"/>
      <c r="BN32" s="182"/>
      <c r="BO32" s="182"/>
      <c r="BP32" s="182"/>
      <c r="BQ32" s="185"/>
      <c r="BR32" s="188"/>
      <c r="BS32" s="187"/>
      <c r="BT32" s="187"/>
      <c r="BU32" s="187"/>
      <c r="BV32" s="187"/>
      <c r="BW32" s="187"/>
      <c r="BX32" s="187"/>
      <c r="BY32" s="138"/>
      <c r="BZ32" s="182"/>
      <c r="CA32" s="183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</row>
    <row r="33" spans="1:92" s="181" customFormat="1" ht="10.5" customHeight="1" x14ac:dyDescent="0.25">
      <c r="A33" s="172"/>
      <c r="B33" s="119" t="s">
        <v>467</v>
      </c>
      <c r="C33" s="172"/>
      <c r="D33" s="171"/>
      <c r="E33" s="172"/>
      <c r="F33" s="172"/>
      <c r="G33" s="172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71"/>
      <c r="T33" s="171"/>
      <c r="U33" s="171"/>
      <c r="V33" s="171"/>
      <c r="W33" s="171"/>
      <c r="X33" s="171"/>
      <c r="Y33" s="171"/>
      <c r="Z33" s="171"/>
      <c r="AA33" s="171"/>
      <c r="AB33" s="120"/>
      <c r="AC33" s="120"/>
      <c r="AD33" s="120"/>
      <c r="AE33" s="171"/>
      <c r="AF33" s="171"/>
      <c r="AG33" s="171"/>
      <c r="AH33" s="171"/>
      <c r="AI33" s="121"/>
      <c r="AJ33" s="121"/>
      <c r="AK33" s="121"/>
      <c r="AL33" s="121"/>
      <c r="AM33" s="175"/>
      <c r="AN33" s="176"/>
      <c r="AO33" s="176"/>
      <c r="AP33" s="176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5"/>
      <c r="BC33" s="175"/>
      <c r="BD33" s="175"/>
      <c r="BE33" s="175"/>
      <c r="BF33" s="175"/>
      <c r="BG33" s="175"/>
      <c r="BH33" s="175"/>
      <c r="BI33" s="175"/>
      <c r="BJ33" s="175"/>
      <c r="BK33" s="178"/>
      <c r="BL33" s="178"/>
      <c r="BM33" s="178"/>
      <c r="BN33" s="175"/>
      <c r="BO33" s="179"/>
      <c r="BP33" s="179"/>
      <c r="BQ33" s="179"/>
      <c r="BR33" s="175"/>
      <c r="BS33" s="175"/>
      <c r="BT33" s="175"/>
      <c r="BU33" s="180"/>
      <c r="BV33" s="180"/>
      <c r="BW33" s="180"/>
      <c r="BX33" s="180"/>
      <c r="BY33" s="175"/>
      <c r="BZ33" s="176"/>
      <c r="CA33" s="176"/>
      <c r="CB33" s="176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5"/>
    </row>
    <row r="34" spans="1:92" s="181" customFormat="1" ht="10.5" customHeight="1" x14ac:dyDescent="0.25">
      <c r="A34" s="122">
        <v>24</v>
      </c>
      <c r="B34" s="123" t="s">
        <v>300</v>
      </c>
      <c r="C34" s="122" t="s">
        <v>299</v>
      </c>
      <c r="D34" s="124">
        <v>1100</v>
      </c>
      <c r="E34" s="125" t="s">
        <v>342</v>
      </c>
      <c r="F34" s="126">
        <v>11.652799999999999</v>
      </c>
      <c r="G34" s="124">
        <v>218542</v>
      </c>
      <c r="H34" s="124">
        <v>109271</v>
      </c>
      <c r="I34" s="124">
        <v>79247</v>
      </c>
      <c r="J34" s="124">
        <v>5754</v>
      </c>
      <c r="K34" s="124">
        <v>0</v>
      </c>
      <c r="L34" s="124">
        <v>809</v>
      </c>
      <c r="M34" s="124">
        <v>82334.569999999978</v>
      </c>
      <c r="N34" s="124">
        <v>60622.079999999987</v>
      </c>
      <c r="O34" s="124">
        <v>3682.49</v>
      </c>
      <c r="P34" s="124">
        <v>0</v>
      </c>
      <c r="Q34" s="124">
        <v>601</v>
      </c>
      <c r="R34" s="124">
        <v>18030</v>
      </c>
      <c r="S34" s="124">
        <v>7747.6148555168502</v>
      </c>
      <c r="T34" s="124">
        <v>2173.3739753305399</v>
      </c>
      <c r="U34" s="124">
        <v>5574.2408801863103</v>
      </c>
      <c r="V34" s="124">
        <v>11643.983097244962</v>
      </c>
      <c r="W34" s="124" t="s">
        <v>418</v>
      </c>
      <c r="X34" s="124">
        <v>11643.983097244962</v>
      </c>
      <c r="Y34" s="124" t="s">
        <v>418</v>
      </c>
      <c r="Z34" s="124">
        <v>2363.7532704055357</v>
      </c>
      <c r="AA34" s="127">
        <v>0.21199999999999999</v>
      </c>
      <c r="AB34" s="128">
        <v>120000</v>
      </c>
      <c r="AC34" s="128">
        <v>150000</v>
      </c>
      <c r="AD34" s="128">
        <v>330000</v>
      </c>
      <c r="AE34" s="125" t="s">
        <v>340</v>
      </c>
      <c r="AF34" s="129" t="s">
        <v>468</v>
      </c>
      <c r="AG34" s="130" t="s">
        <v>418</v>
      </c>
      <c r="AH34" s="130" t="s">
        <v>418</v>
      </c>
      <c r="AI34" s="130" t="s">
        <v>418</v>
      </c>
      <c r="AJ34" s="130" t="s">
        <v>418</v>
      </c>
      <c r="AK34" s="130" t="s">
        <v>418</v>
      </c>
      <c r="AL34" s="130" t="s">
        <v>418</v>
      </c>
      <c r="AM34" s="138"/>
      <c r="AN34" s="182"/>
      <c r="AO34" s="183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27"/>
      <c r="BK34" s="184"/>
      <c r="BL34" s="184"/>
      <c r="BM34" s="184"/>
      <c r="BN34" s="182"/>
      <c r="BO34" s="182"/>
      <c r="BP34" s="182"/>
      <c r="BQ34" s="185"/>
      <c r="BR34" s="188"/>
      <c r="BS34" s="187"/>
      <c r="BT34" s="187"/>
      <c r="BU34" s="187"/>
      <c r="BV34" s="187"/>
      <c r="BW34" s="187"/>
      <c r="BX34" s="187"/>
      <c r="BY34" s="138"/>
      <c r="BZ34" s="182"/>
      <c r="CA34" s="183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</row>
    <row r="35" spans="1:92" s="181" customFormat="1" ht="10.5" customHeight="1" x14ac:dyDescent="0.25">
      <c r="A35" s="122">
        <v>25</v>
      </c>
      <c r="B35" s="123" t="s">
        <v>414</v>
      </c>
      <c r="C35" s="122" t="s">
        <v>299</v>
      </c>
      <c r="D35" s="124">
        <v>1037</v>
      </c>
      <c r="E35" s="125" t="s">
        <v>342</v>
      </c>
      <c r="F35" s="126">
        <v>37.700000000000003</v>
      </c>
      <c r="G35" s="124">
        <v>58092.3</v>
      </c>
      <c r="H35" s="124">
        <v>58092.3</v>
      </c>
      <c r="I35" s="124">
        <v>45159.8</v>
      </c>
      <c r="J35" s="124">
        <v>3350</v>
      </c>
      <c r="K35" s="124">
        <v>0</v>
      </c>
      <c r="L35" s="124">
        <v>722</v>
      </c>
      <c r="M35" s="124">
        <v>11532.399999999998</v>
      </c>
      <c r="N35" s="124">
        <v>708.29999999999836</v>
      </c>
      <c r="O35" s="124">
        <v>564.09999999999991</v>
      </c>
      <c r="P35" s="124">
        <v>0</v>
      </c>
      <c r="Q35" s="124">
        <v>342</v>
      </c>
      <c r="R35" s="124">
        <v>10260</v>
      </c>
      <c r="S35" s="124">
        <v>4630.2402356077637</v>
      </c>
      <c r="T35" s="124">
        <v>3578.4058137190259</v>
      </c>
      <c r="U35" s="124">
        <v>1051.8344218887378</v>
      </c>
      <c r="V35" s="124">
        <v>4649.9258163792001</v>
      </c>
      <c r="W35" s="124">
        <v>421.76155827999997</v>
      </c>
      <c r="X35" s="124">
        <v>540.23950988920024</v>
      </c>
      <c r="Y35" s="124">
        <v>3687.92474821</v>
      </c>
      <c r="Z35" s="124">
        <v>2359.6567976700003</v>
      </c>
      <c r="AA35" s="127">
        <v>0.21199999999999999</v>
      </c>
      <c r="AB35" s="128">
        <v>162000</v>
      </c>
      <c r="AC35" s="128">
        <v>248000</v>
      </c>
      <c r="AD35" s="128">
        <v>690000</v>
      </c>
      <c r="AE35" s="125" t="s">
        <v>340</v>
      </c>
      <c r="AF35" s="122">
        <v>2025</v>
      </c>
      <c r="AG35" s="130">
        <v>409.60267618169672</v>
      </c>
      <c r="AH35" s="130">
        <v>409.60267618169672</v>
      </c>
      <c r="AI35" s="130">
        <v>0</v>
      </c>
      <c r="AJ35" s="130">
        <v>0</v>
      </c>
      <c r="AK35" s="130">
        <v>0</v>
      </c>
      <c r="AL35" s="130">
        <v>0</v>
      </c>
      <c r="AM35" s="138"/>
      <c r="AN35" s="182"/>
      <c r="AO35" s="183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27"/>
      <c r="BK35" s="184"/>
      <c r="BL35" s="184"/>
      <c r="BM35" s="184"/>
      <c r="BN35" s="182"/>
      <c r="BO35" s="182"/>
      <c r="BP35" s="182"/>
      <c r="BQ35" s="185"/>
      <c r="BR35" s="186"/>
      <c r="BS35" s="187"/>
      <c r="BT35" s="187"/>
      <c r="BU35" s="187"/>
      <c r="BV35" s="187"/>
      <c r="BW35" s="187"/>
      <c r="BX35" s="187"/>
      <c r="BY35" s="138"/>
      <c r="BZ35" s="182"/>
      <c r="CA35" s="183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</row>
    <row r="36" spans="1:92" s="181" customFormat="1" ht="10.5" customHeight="1" x14ac:dyDescent="0.25">
      <c r="A36" s="172"/>
      <c r="B36" s="119" t="s">
        <v>469</v>
      </c>
      <c r="C36" s="172"/>
      <c r="D36" s="171"/>
      <c r="E36" s="172"/>
      <c r="F36" s="172"/>
      <c r="G36" s="172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71"/>
      <c r="T36" s="171"/>
      <c r="U36" s="171"/>
      <c r="V36" s="171"/>
      <c r="W36" s="171"/>
      <c r="X36" s="171"/>
      <c r="Y36" s="171"/>
      <c r="Z36" s="171"/>
      <c r="AA36" s="171"/>
      <c r="AB36" s="120"/>
      <c r="AC36" s="120"/>
      <c r="AD36" s="120"/>
      <c r="AE36" s="171"/>
      <c r="AF36" s="171"/>
      <c r="AG36" s="171"/>
      <c r="AH36" s="171"/>
      <c r="AI36" s="121"/>
      <c r="AJ36" s="121"/>
      <c r="AK36" s="121"/>
      <c r="AL36" s="121"/>
      <c r="AM36" s="175"/>
      <c r="AN36" s="176"/>
      <c r="AO36" s="176"/>
      <c r="AP36" s="176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5"/>
      <c r="BC36" s="175"/>
      <c r="BD36" s="175"/>
      <c r="BE36" s="175"/>
      <c r="BF36" s="175"/>
      <c r="BG36" s="175"/>
      <c r="BH36" s="175"/>
      <c r="BI36" s="175"/>
      <c r="BJ36" s="175"/>
      <c r="BK36" s="178"/>
      <c r="BL36" s="178"/>
      <c r="BM36" s="178"/>
      <c r="BN36" s="175"/>
      <c r="BO36" s="179"/>
      <c r="BP36" s="179"/>
      <c r="BQ36" s="179"/>
      <c r="BR36" s="175"/>
      <c r="BS36" s="175"/>
      <c r="BT36" s="175"/>
      <c r="BU36" s="180"/>
      <c r="BV36" s="180"/>
      <c r="BW36" s="180"/>
      <c r="BX36" s="180"/>
      <c r="BY36" s="175"/>
      <c r="BZ36" s="176"/>
      <c r="CA36" s="176"/>
      <c r="CB36" s="176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5"/>
    </row>
    <row r="37" spans="1:92" s="181" customFormat="1" ht="10.5" customHeight="1" x14ac:dyDescent="0.25">
      <c r="A37" s="122">
        <v>26</v>
      </c>
      <c r="B37" s="123" t="s">
        <v>365</v>
      </c>
      <c r="C37" s="122" t="s">
        <v>366</v>
      </c>
      <c r="D37" s="124">
        <v>4867</v>
      </c>
      <c r="E37" s="125" t="s">
        <v>342</v>
      </c>
      <c r="F37" s="126">
        <v>43.8</v>
      </c>
      <c r="G37" s="124">
        <v>60317.36</v>
      </c>
      <c r="H37" s="124">
        <v>56062.36</v>
      </c>
      <c r="I37" s="124">
        <v>45059.159999999996</v>
      </c>
      <c r="J37" s="124">
        <v>3356.3500000000004</v>
      </c>
      <c r="K37" s="124">
        <v>0</v>
      </c>
      <c r="L37" s="124">
        <v>530</v>
      </c>
      <c r="M37" s="124">
        <v>30248.129999999997</v>
      </c>
      <c r="N37" s="124">
        <v>20177.28</v>
      </c>
      <c r="O37" s="124">
        <v>2010.85</v>
      </c>
      <c r="P37" s="124">
        <v>0</v>
      </c>
      <c r="Q37" s="124">
        <v>491</v>
      </c>
      <c r="R37" s="124">
        <v>8060</v>
      </c>
      <c r="S37" s="124">
        <v>8754.7039777679056</v>
      </c>
      <c r="T37" s="124">
        <v>2045.236930464047</v>
      </c>
      <c r="U37" s="124">
        <v>6709.4670473038586</v>
      </c>
      <c r="V37" s="124">
        <v>15304.486353405273</v>
      </c>
      <c r="W37" s="124">
        <v>3142.41059387</v>
      </c>
      <c r="X37" s="124">
        <v>8344.6621384052742</v>
      </c>
      <c r="Y37" s="124">
        <v>3817.4136211300001</v>
      </c>
      <c r="Z37" s="124">
        <v>2500.1625213800003</v>
      </c>
      <c r="AA37" s="127">
        <v>0.21199999999999999</v>
      </c>
      <c r="AB37" s="128">
        <v>306000</v>
      </c>
      <c r="AC37" s="128">
        <v>325000</v>
      </c>
      <c r="AD37" s="128">
        <v>1800000</v>
      </c>
      <c r="AE37" s="125" t="s">
        <v>340</v>
      </c>
      <c r="AF37" s="129" t="s">
        <v>470</v>
      </c>
      <c r="AG37" s="130">
        <v>392.851</v>
      </c>
      <c r="AH37" s="130">
        <v>392.851</v>
      </c>
      <c r="AI37" s="130">
        <v>0</v>
      </c>
      <c r="AJ37" s="130">
        <v>0</v>
      </c>
      <c r="AK37" s="130">
        <v>0</v>
      </c>
      <c r="AL37" s="130">
        <v>0</v>
      </c>
      <c r="AM37" s="138"/>
      <c r="AN37" s="182"/>
      <c r="AO37" s="183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27"/>
      <c r="BK37" s="184"/>
      <c r="BL37" s="184"/>
      <c r="BM37" s="184"/>
      <c r="BN37" s="182"/>
      <c r="BO37" s="182"/>
      <c r="BP37" s="182"/>
      <c r="BQ37" s="185"/>
      <c r="BR37" s="188"/>
      <c r="BS37" s="187"/>
      <c r="BT37" s="187"/>
      <c r="BU37" s="187"/>
      <c r="BV37" s="187"/>
      <c r="BW37" s="187"/>
      <c r="BX37" s="187"/>
      <c r="BY37" s="138"/>
      <c r="BZ37" s="182"/>
      <c r="CA37" s="183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</row>
    <row r="38" spans="1:92" s="181" customFormat="1" ht="10.5" customHeight="1" x14ac:dyDescent="0.25">
      <c r="A38" s="122">
        <v>27</v>
      </c>
      <c r="B38" s="123" t="s">
        <v>367</v>
      </c>
      <c r="C38" s="122" t="s">
        <v>366</v>
      </c>
      <c r="D38" s="124">
        <v>2154</v>
      </c>
      <c r="E38" s="125" t="s">
        <v>342</v>
      </c>
      <c r="F38" s="126">
        <v>1.7291000000000001</v>
      </c>
      <c r="G38" s="124">
        <v>30808.84</v>
      </c>
      <c r="H38" s="124">
        <v>30768.04</v>
      </c>
      <c r="I38" s="124">
        <v>21656.1</v>
      </c>
      <c r="J38" s="124">
        <v>4910.66</v>
      </c>
      <c r="K38" s="124">
        <v>0</v>
      </c>
      <c r="L38" s="124">
        <v>310</v>
      </c>
      <c r="M38" s="124">
        <v>8494.59</v>
      </c>
      <c r="N38" s="124">
        <v>2074.1899999999996</v>
      </c>
      <c r="O38" s="124">
        <v>2010.4</v>
      </c>
      <c r="P38" s="124">
        <v>0</v>
      </c>
      <c r="Q38" s="124">
        <v>147</v>
      </c>
      <c r="R38" s="124">
        <v>4410</v>
      </c>
      <c r="S38" s="124">
        <v>3235.3946453061071</v>
      </c>
      <c r="T38" s="124">
        <v>1878.3955148205478</v>
      </c>
      <c r="U38" s="124">
        <v>1356.9991304855594</v>
      </c>
      <c r="V38" s="124">
        <v>5169.5935460296796</v>
      </c>
      <c r="W38" s="124">
        <v>1772.31159452</v>
      </c>
      <c r="X38" s="124">
        <v>2145.0108780296796</v>
      </c>
      <c r="Y38" s="124">
        <v>1252.27107348</v>
      </c>
      <c r="Z38" s="124">
        <v>787.89685284999996</v>
      </c>
      <c r="AA38" s="127">
        <v>0.21199999999999999</v>
      </c>
      <c r="AB38" s="128">
        <v>350000</v>
      </c>
      <c r="AC38" s="128">
        <v>450000</v>
      </c>
      <c r="AD38" s="128">
        <v>2300000</v>
      </c>
      <c r="AE38" s="125" t="s">
        <v>340</v>
      </c>
      <c r="AF38" s="129" t="s">
        <v>368</v>
      </c>
      <c r="AG38" s="130">
        <v>281.0508145442966</v>
      </c>
      <c r="AH38" s="130">
        <v>248.0508145442966</v>
      </c>
      <c r="AI38" s="130">
        <v>33</v>
      </c>
      <c r="AJ38" s="130">
        <v>0</v>
      </c>
      <c r="AK38" s="130">
        <v>29.975237304901338</v>
      </c>
      <c r="AL38" s="130">
        <v>0</v>
      </c>
      <c r="AM38" s="138"/>
      <c r="AN38" s="182"/>
      <c r="AO38" s="183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27"/>
      <c r="BK38" s="184"/>
      <c r="BL38" s="184"/>
      <c r="BM38" s="184"/>
      <c r="BN38" s="182"/>
      <c r="BO38" s="182"/>
      <c r="BP38" s="182"/>
      <c r="BQ38" s="185"/>
      <c r="BR38" s="188"/>
      <c r="BS38" s="187"/>
      <c r="BT38" s="187"/>
      <c r="BU38" s="187"/>
      <c r="BV38" s="187"/>
      <c r="BW38" s="187"/>
      <c r="BX38" s="187"/>
      <c r="BY38" s="138"/>
      <c r="BZ38" s="182"/>
      <c r="CA38" s="183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</row>
    <row r="39" spans="1:92" s="181" customFormat="1" ht="10.5" customHeight="1" x14ac:dyDescent="0.25">
      <c r="A39" s="133"/>
      <c r="B39" s="159" t="s">
        <v>471</v>
      </c>
      <c r="C39" s="133"/>
      <c r="D39" s="135">
        <v>68050</v>
      </c>
      <c r="E39" s="135"/>
      <c r="F39" s="135"/>
      <c r="G39" s="135">
        <v>4209601.6700000009</v>
      </c>
      <c r="H39" s="135">
        <v>3821912.7206965024</v>
      </c>
      <c r="I39" s="135">
        <v>3263566.7506965022</v>
      </c>
      <c r="J39" s="135">
        <v>227547.09000000003</v>
      </c>
      <c r="K39" s="135">
        <v>1500</v>
      </c>
      <c r="L39" s="135">
        <v>21461</v>
      </c>
      <c r="M39" s="135">
        <v>3381609.3506965013</v>
      </c>
      <c r="N39" s="135">
        <v>2849442.3906965018</v>
      </c>
      <c r="O39" s="135">
        <v>203596.81000000003</v>
      </c>
      <c r="P39" s="135">
        <v>0</v>
      </c>
      <c r="Q39" s="135">
        <v>20165</v>
      </c>
      <c r="R39" s="135">
        <v>328570.15000000002</v>
      </c>
      <c r="S39" s="135">
        <v>470185.32257280429</v>
      </c>
      <c r="T39" s="135">
        <v>40304.357175977646</v>
      </c>
      <c r="U39" s="135">
        <v>429880.96539682668</v>
      </c>
      <c r="V39" s="135">
        <v>684098.77892676275</v>
      </c>
      <c r="W39" s="135">
        <v>13335.13375194</v>
      </c>
      <c r="X39" s="135">
        <v>636387.09654737276</v>
      </c>
      <c r="Y39" s="135">
        <v>34376.54862745</v>
      </c>
      <c r="Z39" s="135">
        <v>28541.978243125537</v>
      </c>
      <c r="AA39" s="136"/>
      <c r="AB39" s="135"/>
      <c r="AC39" s="135"/>
      <c r="AD39" s="135"/>
      <c r="AE39" s="136"/>
      <c r="AF39" s="136"/>
      <c r="AG39" s="137">
        <v>13493.128337638955</v>
      </c>
      <c r="AH39" s="137">
        <v>12362.604362150028</v>
      </c>
      <c r="AI39" s="137">
        <v>1130.5239754889262</v>
      </c>
      <c r="AJ39" s="137">
        <v>0</v>
      </c>
      <c r="AK39" s="137">
        <v>367.83640669273859</v>
      </c>
      <c r="AL39" s="137">
        <v>0</v>
      </c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91"/>
      <c r="BK39" s="189"/>
      <c r="BL39" s="189"/>
      <c r="BM39" s="189"/>
      <c r="BN39" s="191"/>
      <c r="BO39" s="191"/>
      <c r="BP39" s="191"/>
      <c r="BQ39" s="191"/>
      <c r="BR39" s="191"/>
      <c r="BS39" s="192"/>
      <c r="BT39" s="192"/>
      <c r="BU39" s="192"/>
      <c r="BV39" s="192"/>
      <c r="BW39" s="192"/>
      <c r="BX39" s="192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</row>
    <row r="40" spans="1:92" s="181" customFormat="1" ht="10.5" customHeight="1" x14ac:dyDescent="0.25">
      <c r="A40" s="172"/>
      <c r="B40" s="119" t="s">
        <v>370</v>
      </c>
      <c r="C40" s="172"/>
      <c r="D40" s="171"/>
      <c r="E40" s="172"/>
      <c r="F40" s="172"/>
      <c r="G40" s="172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71"/>
      <c r="T40" s="171"/>
      <c r="U40" s="171"/>
      <c r="V40" s="171"/>
      <c r="W40" s="171"/>
      <c r="X40" s="171"/>
      <c r="Y40" s="171"/>
      <c r="Z40" s="171"/>
      <c r="AA40" s="171"/>
      <c r="AB40" s="120"/>
      <c r="AC40" s="120"/>
      <c r="AD40" s="120"/>
      <c r="AE40" s="171"/>
      <c r="AF40" s="171"/>
      <c r="AG40" s="171"/>
      <c r="AH40" s="171"/>
      <c r="AI40" s="121"/>
      <c r="AJ40" s="121"/>
      <c r="AK40" s="121"/>
      <c r="AL40" s="121"/>
      <c r="AM40" s="175"/>
      <c r="AN40" s="176"/>
      <c r="AO40" s="176"/>
      <c r="AP40" s="176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5"/>
      <c r="BC40" s="175"/>
      <c r="BD40" s="175"/>
      <c r="BE40" s="175"/>
      <c r="BF40" s="175"/>
      <c r="BG40" s="175"/>
      <c r="BH40" s="175"/>
      <c r="BI40" s="175"/>
      <c r="BJ40" s="175"/>
      <c r="BK40" s="178"/>
      <c r="BL40" s="178"/>
      <c r="BM40" s="178"/>
      <c r="BN40" s="175"/>
      <c r="BO40" s="179"/>
      <c r="BP40" s="179"/>
      <c r="BQ40" s="179"/>
      <c r="BR40" s="175"/>
      <c r="BS40" s="175"/>
      <c r="BT40" s="175"/>
      <c r="BU40" s="180"/>
      <c r="BV40" s="180"/>
      <c r="BW40" s="180"/>
      <c r="BX40" s="180"/>
      <c r="BY40" s="175"/>
      <c r="BZ40" s="176"/>
      <c r="CA40" s="176"/>
      <c r="CB40" s="176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5"/>
    </row>
    <row r="41" spans="1:92" s="181" customFormat="1" ht="10.5" customHeight="1" x14ac:dyDescent="0.25">
      <c r="A41" s="122">
        <v>28</v>
      </c>
      <c r="B41" s="123" t="s">
        <v>113</v>
      </c>
      <c r="C41" s="122" t="s">
        <v>92</v>
      </c>
      <c r="D41" s="124">
        <v>3142</v>
      </c>
      <c r="E41" s="125" t="s">
        <v>342</v>
      </c>
      <c r="F41" s="126">
        <v>7.7</v>
      </c>
      <c r="G41" s="124">
        <v>189032.59999999998</v>
      </c>
      <c r="H41" s="124">
        <v>189032.59999999998</v>
      </c>
      <c r="I41" s="124">
        <v>136426.9</v>
      </c>
      <c r="J41" s="124">
        <v>26369.4</v>
      </c>
      <c r="K41" s="124">
        <v>0</v>
      </c>
      <c r="L41" s="124">
        <v>1953</v>
      </c>
      <c r="M41" s="124">
        <v>15810.8</v>
      </c>
      <c r="N41" s="124">
        <v>0</v>
      </c>
      <c r="O41" s="124">
        <v>14340.8</v>
      </c>
      <c r="P41" s="124">
        <v>0</v>
      </c>
      <c r="Q41" s="124">
        <v>49</v>
      </c>
      <c r="R41" s="124">
        <v>1470</v>
      </c>
      <c r="S41" s="124">
        <v>20765.890386752832</v>
      </c>
      <c r="T41" s="124">
        <v>20407.710928462831</v>
      </c>
      <c r="U41" s="124">
        <v>358.17945828999984</v>
      </c>
      <c r="V41" s="124">
        <v>4239.8496828200005</v>
      </c>
      <c r="W41" s="124">
        <v>1382.6095928199998</v>
      </c>
      <c r="X41" s="124">
        <v>2857.2400900000007</v>
      </c>
      <c r="Y41" s="124">
        <v>0</v>
      </c>
      <c r="Z41" s="124">
        <v>0</v>
      </c>
      <c r="AA41" s="127">
        <v>0.188</v>
      </c>
      <c r="AB41" s="128">
        <v>0</v>
      </c>
      <c r="AC41" s="128">
        <v>220000</v>
      </c>
      <c r="AD41" s="128">
        <v>1750000</v>
      </c>
      <c r="AE41" s="125" t="s">
        <v>352</v>
      </c>
      <c r="AF41" s="129" t="s">
        <v>472</v>
      </c>
      <c r="AG41" s="130">
        <v>6349.9172447844721</v>
      </c>
      <c r="AH41" s="130">
        <v>6349.9172447844721</v>
      </c>
      <c r="AI41" s="130">
        <v>0</v>
      </c>
      <c r="AJ41" s="130">
        <v>0</v>
      </c>
      <c r="AK41" s="130">
        <v>0</v>
      </c>
      <c r="AL41" s="130">
        <v>0</v>
      </c>
      <c r="AM41" s="138"/>
      <c r="AN41" s="182"/>
      <c r="AO41" s="183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27"/>
      <c r="BK41" s="184"/>
      <c r="BL41" s="184"/>
      <c r="BM41" s="184"/>
      <c r="BN41" s="182"/>
      <c r="BO41" s="182"/>
      <c r="BP41" s="182"/>
      <c r="BQ41" s="185"/>
      <c r="BR41" s="188"/>
      <c r="BS41" s="187"/>
      <c r="BT41" s="187"/>
      <c r="BU41" s="187"/>
      <c r="BV41" s="187"/>
      <c r="BW41" s="187"/>
      <c r="BX41" s="187"/>
      <c r="BY41" s="138"/>
      <c r="BZ41" s="182"/>
      <c r="CA41" s="183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</row>
    <row r="42" spans="1:92" s="181" customFormat="1" ht="10.5" customHeight="1" x14ac:dyDescent="0.25">
      <c r="A42" s="122">
        <v>29</v>
      </c>
      <c r="B42" s="123" t="s">
        <v>348</v>
      </c>
      <c r="C42" s="122" t="s">
        <v>343</v>
      </c>
      <c r="D42" s="124">
        <v>1323</v>
      </c>
      <c r="E42" s="125" t="s">
        <v>339</v>
      </c>
      <c r="F42" s="126">
        <v>2.8117000000000001</v>
      </c>
      <c r="G42" s="124">
        <v>46935.759999999995</v>
      </c>
      <c r="H42" s="124">
        <v>46935.759999999995</v>
      </c>
      <c r="I42" s="124">
        <v>31833.260000000002</v>
      </c>
      <c r="J42" s="124">
        <v>3102.5</v>
      </c>
      <c r="K42" s="124">
        <v>0</v>
      </c>
      <c r="L42" s="124">
        <v>400</v>
      </c>
      <c r="M42" s="124">
        <v>8981.2000000000007</v>
      </c>
      <c r="N42" s="124">
        <v>5440.5</v>
      </c>
      <c r="O42" s="124">
        <v>1020.7</v>
      </c>
      <c r="P42" s="124">
        <v>0</v>
      </c>
      <c r="Q42" s="124">
        <v>84</v>
      </c>
      <c r="R42" s="124">
        <v>2520</v>
      </c>
      <c r="S42" s="124">
        <v>2964.9687834799001</v>
      </c>
      <c r="T42" s="124">
        <v>2838.6715816995666</v>
      </c>
      <c r="U42" s="124">
        <v>126.29720178033332</v>
      </c>
      <c r="V42" s="124">
        <v>1611.6379596866668</v>
      </c>
      <c r="W42" s="124">
        <v>367.11670351999999</v>
      </c>
      <c r="X42" s="124">
        <v>1244.5212561666667</v>
      </c>
      <c r="Y42" s="124">
        <v>0</v>
      </c>
      <c r="Z42" s="124">
        <v>0</v>
      </c>
      <c r="AA42" s="127">
        <v>0.188</v>
      </c>
      <c r="AB42" s="128">
        <v>200000</v>
      </c>
      <c r="AC42" s="128">
        <v>79000</v>
      </c>
      <c r="AD42" s="128">
        <v>250000</v>
      </c>
      <c r="AE42" s="125" t="s">
        <v>352</v>
      </c>
      <c r="AF42" s="129" t="s">
        <v>473</v>
      </c>
      <c r="AG42" s="130">
        <v>146.78194543983997</v>
      </c>
      <c r="AH42" s="130">
        <v>146.78194543983997</v>
      </c>
      <c r="AI42" s="130">
        <v>0</v>
      </c>
      <c r="AJ42" s="130">
        <v>0</v>
      </c>
      <c r="AK42" s="130">
        <v>0</v>
      </c>
      <c r="AL42" s="130">
        <v>0</v>
      </c>
      <c r="AM42" s="138"/>
      <c r="AN42" s="182"/>
      <c r="AO42" s="183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27"/>
      <c r="BK42" s="184"/>
      <c r="BL42" s="184"/>
      <c r="BM42" s="184"/>
      <c r="BN42" s="182"/>
      <c r="BO42" s="182"/>
      <c r="BP42" s="182"/>
      <c r="BQ42" s="185"/>
      <c r="BR42" s="188"/>
      <c r="BS42" s="187"/>
      <c r="BT42" s="187"/>
      <c r="BU42" s="187"/>
      <c r="BV42" s="187"/>
      <c r="BW42" s="187"/>
      <c r="BX42" s="187"/>
      <c r="BY42" s="138"/>
      <c r="BZ42" s="182"/>
      <c r="CA42" s="183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</row>
    <row r="43" spans="1:92" s="181" customFormat="1" ht="10.5" customHeight="1" x14ac:dyDescent="0.25">
      <c r="A43" s="122">
        <v>30</v>
      </c>
      <c r="B43" s="123" t="s">
        <v>103</v>
      </c>
      <c r="C43" s="122" t="s">
        <v>92</v>
      </c>
      <c r="D43" s="124">
        <v>343</v>
      </c>
      <c r="E43" s="125" t="s">
        <v>339</v>
      </c>
      <c r="F43" s="126">
        <v>14.9</v>
      </c>
      <c r="G43" s="124">
        <v>297936.40000000002</v>
      </c>
      <c r="H43" s="124">
        <v>257556.2</v>
      </c>
      <c r="I43" s="124">
        <v>202412.80000000002</v>
      </c>
      <c r="J43" s="124">
        <v>18978.400000000001</v>
      </c>
      <c r="K43" s="124">
        <v>0</v>
      </c>
      <c r="L43" s="124">
        <v>2236</v>
      </c>
      <c r="M43" s="124">
        <v>446.7</v>
      </c>
      <c r="N43" s="124">
        <v>0</v>
      </c>
      <c r="O43" s="124">
        <v>416.7</v>
      </c>
      <c r="P43" s="124">
        <v>0</v>
      </c>
      <c r="Q43" s="124">
        <v>1</v>
      </c>
      <c r="R43" s="124">
        <v>30</v>
      </c>
      <c r="S43" s="124">
        <v>0</v>
      </c>
      <c r="T43" s="124">
        <v>0</v>
      </c>
      <c r="U43" s="124">
        <v>0</v>
      </c>
      <c r="V43" s="124">
        <v>499.44220576333333</v>
      </c>
      <c r="W43" s="124">
        <v>413.91965743000003</v>
      </c>
      <c r="X43" s="124">
        <v>85.522548333333305</v>
      </c>
      <c r="Y43" s="124">
        <v>0</v>
      </c>
      <c r="Z43" s="124">
        <v>0</v>
      </c>
      <c r="AA43" s="127">
        <v>0.188</v>
      </c>
      <c r="AB43" s="128">
        <v>0</v>
      </c>
      <c r="AC43" s="128">
        <v>230000</v>
      </c>
      <c r="AD43" s="128">
        <v>1160000</v>
      </c>
      <c r="AE43" s="125" t="s">
        <v>352</v>
      </c>
      <c r="AF43" s="129" t="s">
        <v>371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8"/>
      <c r="AN43" s="182"/>
      <c r="AO43" s="183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27"/>
      <c r="BK43" s="184"/>
      <c r="BL43" s="184"/>
      <c r="BM43" s="184"/>
      <c r="BN43" s="182"/>
      <c r="BO43" s="182"/>
      <c r="BP43" s="182"/>
      <c r="BQ43" s="185"/>
      <c r="BR43" s="188"/>
      <c r="BS43" s="187"/>
      <c r="BT43" s="187"/>
      <c r="BU43" s="187"/>
      <c r="BV43" s="187"/>
      <c r="BW43" s="187"/>
      <c r="BX43" s="187"/>
      <c r="BY43" s="138"/>
      <c r="BZ43" s="182"/>
      <c r="CA43" s="183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</row>
    <row r="44" spans="1:92" s="181" customFormat="1" ht="10.5" customHeight="1" x14ac:dyDescent="0.25">
      <c r="A44" s="122">
        <v>31</v>
      </c>
      <c r="B44" s="123" t="s">
        <v>373</v>
      </c>
      <c r="C44" s="122" t="s">
        <v>92</v>
      </c>
      <c r="D44" s="124">
        <v>262</v>
      </c>
      <c r="E44" s="125" t="s">
        <v>339</v>
      </c>
      <c r="F44" s="126" t="s">
        <v>94</v>
      </c>
      <c r="G44" s="124">
        <v>13440</v>
      </c>
      <c r="H44" s="124">
        <v>13440</v>
      </c>
      <c r="I44" s="124">
        <v>0</v>
      </c>
      <c r="J44" s="124">
        <v>0</v>
      </c>
      <c r="K44" s="124">
        <v>0</v>
      </c>
      <c r="L44" s="124">
        <v>448</v>
      </c>
      <c r="M44" s="124">
        <v>8010</v>
      </c>
      <c r="N44" s="124">
        <v>0</v>
      </c>
      <c r="O44" s="124">
        <v>0</v>
      </c>
      <c r="P44" s="124">
        <v>0</v>
      </c>
      <c r="Q44" s="124">
        <v>267</v>
      </c>
      <c r="R44" s="124">
        <v>8010</v>
      </c>
      <c r="S44" s="124">
        <v>0</v>
      </c>
      <c r="T44" s="124">
        <v>0</v>
      </c>
      <c r="U44" s="124">
        <v>0</v>
      </c>
      <c r="V44" s="124">
        <v>356.92572600000005</v>
      </c>
      <c r="W44" s="124">
        <v>116.13815100000001</v>
      </c>
      <c r="X44" s="124">
        <v>240.78757500000006</v>
      </c>
      <c r="Y44" s="124">
        <v>0</v>
      </c>
      <c r="Z44" s="124">
        <v>0</v>
      </c>
      <c r="AA44" s="127">
        <v>0.188</v>
      </c>
      <c r="AB44" s="128">
        <v>0</v>
      </c>
      <c r="AC44" s="128">
        <v>0</v>
      </c>
      <c r="AD44" s="128">
        <v>1000000</v>
      </c>
      <c r="AE44" s="125" t="s">
        <v>352</v>
      </c>
      <c r="AF44" s="129" t="s">
        <v>94</v>
      </c>
      <c r="AG44" s="130">
        <v>0</v>
      </c>
      <c r="AH44" s="130">
        <v>0</v>
      </c>
      <c r="AI44" s="130">
        <v>0</v>
      </c>
      <c r="AJ44" s="130">
        <v>0</v>
      </c>
      <c r="AK44" s="130">
        <v>0</v>
      </c>
      <c r="AL44" s="130">
        <v>0</v>
      </c>
      <c r="AM44" s="138"/>
      <c r="AN44" s="182"/>
      <c r="AO44" s="183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27"/>
      <c r="BK44" s="184"/>
      <c r="BL44" s="184"/>
      <c r="BM44" s="184"/>
      <c r="BN44" s="182"/>
      <c r="BO44" s="182"/>
      <c r="BP44" s="182"/>
      <c r="BQ44" s="185"/>
      <c r="BR44" s="188"/>
      <c r="BS44" s="187"/>
      <c r="BT44" s="187"/>
      <c r="BU44" s="187"/>
      <c r="BV44" s="187"/>
      <c r="BW44" s="187"/>
      <c r="BX44" s="187"/>
      <c r="BY44" s="138"/>
      <c r="BZ44" s="182"/>
      <c r="CA44" s="183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</row>
    <row r="45" spans="1:92" s="181" customFormat="1" ht="10.5" customHeight="1" x14ac:dyDescent="0.25">
      <c r="A45" s="122">
        <v>32</v>
      </c>
      <c r="B45" s="123" t="s">
        <v>374</v>
      </c>
      <c r="C45" s="122" t="s">
        <v>92</v>
      </c>
      <c r="D45" s="124">
        <v>162</v>
      </c>
      <c r="E45" s="125" t="s">
        <v>339</v>
      </c>
      <c r="F45" s="126">
        <v>2.5529999999999999</v>
      </c>
      <c r="G45" s="124">
        <v>37572.6</v>
      </c>
      <c r="H45" s="124">
        <v>37572.6</v>
      </c>
      <c r="I45" s="124">
        <v>22731.9</v>
      </c>
      <c r="J45" s="124">
        <v>2854.1</v>
      </c>
      <c r="K45" s="124">
        <v>0</v>
      </c>
      <c r="L45" s="124">
        <v>900</v>
      </c>
      <c r="M45" s="124">
        <v>8850</v>
      </c>
      <c r="N45" s="124">
        <v>0</v>
      </c>
      <c r="O45" s="124">
        <v>0</v>
      </c>
      <c r="P45" s="124">
        <v>0</v>
      </c>
      <c r="Q45" s="124">
        <v>295</v>
      </c>
      <c r="R45" s="124">
        <v>8850</v>
      </c>
      <c r="S45" s="124">
        <v>1473.8882430149997</v>
      </c>
      <c r="T45" s="124">
        <v>1473.8882430149997</v>
      </c>
      <c r="U45" s="124">
        <v>0</v>
      </c>
      <c r="V45" s="124">
        <v>207.44911263</v>
      </c>
      <c r="W45" s="124">
        <v>39.686554420000007</v>
      </c>
      <c r="X45" s="124">
        <v>167.76255821000001</v>
      </c>
      <c r="Y45" s="124">
        <v>0</v>
      </c>
      <c r="Z45" s="124">
        <v>0</v>
      </c>
      <c r="AA45" s="127">
        <v>0.188</v>
      </c>
      <c r="AB45" s="128">
        <v>0</v>
      </c>
      <c r="AC45" s="128">
        <v>0</v>
      </c>
      <c r="AD45" s="128">
        <v>520000</v>
      </c>
      <c r="AE45" s="125" t="s">
        <v>352</v>
      </c>
      <c r="AF45" s="129" t="s">
        <v>375</v>
      </c>
      <c r="AG45" s="130">
        <v>130.99449678000002</v>
      </c>
      <c r="AH45" s="130">
        <v>130.99449678000002</v>
      </c>
      <c r="AI45" s="130">
        <v>0</v>
      </c>
      <c r="AJ45" s="130">
        <v>0</v>
      </c>
      <c r="AK45" s="130">
        <v>0</v>
      </c>
      <c r="AL45" s="130">
        <v>0</v>
      </c>
      <c r="AM45" s="138"/>
      <c r="AN45" s="182"/>
      <c r="AO45" s="183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27"/>
      <c r="BK45" s="184"/>
      <c r="BL45" s="184"/>
      <c r="BM45" s="184"/>
      <c r="BN45" s="182"/>
      <c r="BO45" s="182"/>
      <c r="BP45" s="182"/>
      <c r="BQ45" s="185"/>
      <c r="BR45" s="188"/>
      <c r="BS45" s="187"/>
      <c r="BT45" s="187"/>
      <c r="BU45" s="187"/>
      <c r="BV45" s="187"/>
      <c r="BW45" s="187"/>
      <c r="BX45" s="187"/>
      <c r="BY45" s="138"/>
      <c r="BZ45" s="182"/>
      <c r="CA45" s="183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</row>
    <row r="46" spans="1:92" s="181" customFormat="1" ht="21" x14ac:dyDescent="0.25">
      <c r="A46" s="122">
        <v>33</v>
      </c>
      <c r="B46" s="123" t="s">
        <v>415</v>
      </c>
      <c r="C46" s="122" t="s">
        <v>92</v>
      </c>
      <c r="D46" s="124">
        <v>60</v>
      </c>
      <c r="E46" s="125" t="s">
        <v>339</v>
      </c>
      <c r="F46" s="126">
        <v>0.4</v>
      </c>
      <c r="G46" s="124">
        <v>8636.7999999999993</v>
      </c>
      <c r="H46" s="124">
        <v>8636.7999999999993</v>
      </c>
      <c r="I46" s="124">
        <v>6173.5</v>
      </c>
      <c r="J46" s="124">
        <v>994.9</v>
      </c>
      <c r="K46" s="124">
        <v>0</v>
      </c>
      <c r="L46" s="124">
        <v>92</v>
      </c>
      <c r="M46" s="124">
        <v>298.8</v>
      </c>
      <c r="N46" s="124">
        <v>0</v>
      </c>
      <c r="O46" s="124">
        <v>298.8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4">
        <v>0</v>
      </c>
      <c r="V46" s="124">
        <v>68.9356382</v>
      </c>
      <c r="W46" s="124">
        <v>8.3439782000000005</v>
      </c>
      <c r="X46" s="124">
        <v>60.591659999999997</v>
      </c>
      <c r="Y46" s="124">
        <v>0</v>
      </c>
      <c r="Z46" s="124">
        <v>0</v>
      </c>
      <c r="AA46" s="127">
        <v>0.188</v>
      </c>
      <c r="AB46" s="128">
        <v>0</v>
      </c>
      <c r="AC46" s="128">
        <v>230000</v>
      </c>
      <c r="AD46" s="128">
        <v>0</v>
      </c>
      <c r="AE46" s="125" t="s">
        <v>352</v>
      </c>
      <c r="AF46" s="122">
        <v>2020</v>
      </c>
      <c r="AG46" s="130">
        <v>0</v>
      </c>
      <c r="AH46" s="130">
        <v>0</v>
      </c>
      <c r="AI46" s="130">
        <v>0</v>
      </c>
      <c r="AJ46" s="130">
        <v>0</v>
      </c>
      <c r="AK46" s="130">
        <v>0</v>
      </c>
      <c r="AL46" s="130">
        <v>0</v>
      </c>
      <c r="AM46" s="138"/>
      <c r="AN46" s="182"/>
      <c r="AO46" s="183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27"/>
      <c r="BK46" s="184"/>
      <c r="BL46" s="184"/>
      <c r="BM46" s="184"/>
      <c r="BN46" s="182"/>
      <c r="BO46" s="182"/>
      <c r="BP46" s="182"/>
      <c r="BQ46" s="185"/>
      <c r="BR46" s="186"/>
      <c r="BS46" s="187"/>
      <c r="BT46" s="187"/>
      <c r="BU46" s="187"/>
      <c r="BV46" s="187"/>
      <c r="BW46" s="187"/>
      <c r="BX46" s="187"/>
      <c r="BY46" s="138"/>
      <c r="BZ46" s="182"/>
      <c r="CA46" s="183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</row>
    <row r="47" spans="1:92" s="181" customFormat="1" ht="10.5" customHeight="1" x14ac:dyDescent="0.25">
      <c r="A47" s="122">
        <v>34</v>
      </c>
      <c r="B47" s="123" t="s">
        <v>114</v>
      </c>
      <c r="C47" s="122" t="s">
        <v>92</v>
      </c>
      <c r="D47" s="124">
        <v>0</v>
      </c>
      <c r="E47" s="125" t="s">
        <v>339</v>
      </c>
      <c r="F47" s="126">
        <v>12.9</v>
      </c>
      <c r="G47" s="124">
        <v>120713.7</v>
      </c>
      <c r="H47" s="124">
        <v>119093.7</v>
      </c>
      <c r="I47" s="124">
        <v>82326.7</v>
      </c>
      <c r="J47" s="124">
        <v>31757</v>
      </c>
      <c r="K47" s="124">
        <v>0</v>
      </c>
      <c r="L47" s="124">
        <v>750</v>
      </c>
      <c r="M47" s="124">
        <v>39729.300000000003</v>
      </c>
      <c r="N47" s="124">
        <v>0</v>
      </c>
      <c r="O47" s="124">
        <v>29709.3</v>
      </c>
      <c r="P47" s="124">
        <v>0</v>
      </c>
      <c r="Q47" s="124">
        <v>334</v>
      </c>
      <c r="R47" s="124">
        <v>10020</v>
      </c>
      <c r="S47" s="124">
        <v>3450.3678664127192</v>
      </c>
      <c r="T47" s="124">
        <v>610.17655241123248</v>
      </c>
      <c r="U47" s="124">
        <v>2840.1913140014867</v>
      </c>
      <c r="V47" s="124">
        <v>2295.3084487299998</v>
      </c>
      <c r="W47" s="124">
        <v>0</v>
      </c>
      <c r="X47" s="124">
        <v>2295.3084487299998</v>
      </c>
      <c r="Y47" s="124">
        <v>0</v>
      </c>
      <c r="Z47" s="124">
        <v>0</v>
      </c>
      <c r="AA47" s="127">
        <v>0.188</v>
      </c>
      <c r="AB47" s="128">
        <v>0</v>
      </c>
      <c r="AC47" s="128">
        <v>61600</v>
      </c>
      <c r="AD47" s="128">
        <v>2200000</v>
      </c>
      <c r="AE47" s="125" t="s">
        <v>352</v>
      </c>
      <c r="AF47" s="129" t="s">
        <v>372</v>
      </c>
      <c r="AG47" s="130">
        <v>1.3696667088625001</v>
      </c>
      <c r="AH47" s="130">
        <v>0.62431631177500002</v>
      </c>
      <c r="AI47" s="130">
        <v>0.74535039708750006</v>
      </c>
      <c r="AJ47" s="130">
        <v>0</v>
      </c>
      <c r="AK47" s="130">
        <v>0.67304084937608577</v>
      </c>
      <c r="AL47" s="130">
        <v>0</v>
      </c>
      <c r="AM47" s="138"/>
      <c r="AN47" s="182"/>
      <c r="AO47" s="183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27"/>
      <c r="BK47" s="184"/>
      <c r="BL47" s="184"/>
      <c r="BM47" s="184"/>
      <c r="BN47" s="182"/>
      <c r="BO47" s="182"/>
      <c r="BP47" s="182"/>
      <c r="BQ47" s="185"/>
      <c r="BR47" s="188"/>
      <c r="BS47" s="187"/>
      <c r="BT47" s="187"/>
      <c r="BU47" s="187"/>
      <c r="BV47" s="187"/>
      <c r="BW47" s="187"/>
      <c r="BX47" s="187"/>
      <c r="BY47" s="138"/>
      <c r="BZ47" s="182"/>
      <c r="CA47" s="183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</row>
    <row r="48" spans="1:92" s="181" customFormat="1" ht="31.5" x14ac:dyDescent="0.25">
      <c r="A48" s="122">
        <v>35</v>
      </c>
      <c r="B48" s="123" t="s">
        <v>102</v>
      </c>
      <c r="C48" s="122" t="s">
        <v>92</v>
      </c>
      <c r="D48" s="124">
        <v>0</v>
      </c>
      <c r="E48" s="125" t="s">
        <v>344</v>
      </c>
      <c r="F48" s="126">
        <v>67</v>
      </c>
      <c r="G48" s="124">
        <v>384235.02</v>
      </c>
      <c r="H48" s="124">
        <v>369379.22000000003</v>
      </c>
      <c r="I48" s="124">
        <v>345200.82</v>
      </c>
      <c r="J48" s="124">
        <v>16474.099999999999</v>
      </c>
      <c r="K48" s="124">
        <v>0</v>
      </c>
      <c r="L48" s="124">
        <v>449</v>
      </c>
      <c r="M48" s="124">
        <v>3204</v>
      </c>
      <c r="N48" s="124">
        <v>1508.8999999999999</v>
      </c>
      <c r="O48" s="124">
        <v>1455.1000000000001</v>
      </c>
      <c r="P48" s="124">
        <v>0</v>
      </c>
      <c r="Q48" s="124">
        <v>8</v>
      </c>
      <c r="R48" s="124">
        <v>240</v>
      </c>
      <c r="S48" s="124">
        <v>2086.3251354370886</v>
      </c>
      <c r="T48" s="124">
        <v>1050.1902561265879</v>
      </c>
      <c r="U48" s="124">
        <v>1036.1348793105008</v>
      </c>
      <c r="V48" s="124">
        <v>800.90966515666696</v>
      </c>
      <c r="W48" s="124">
        <v>218.15698768999999</v>
      </c>
      <c r="X48" s="124">
        <v>582.75267746666691</v>
      </c>
      <c r="Y48" s="124">
        <v>0</v>
      </c>
      <c r="Z48" s="124">
        <v>0</v>
      </c>
      <c r="AA48" s="127">
        <v>0.188</v>
      </c>
      <c r="AB48" s="128">
        <v>184000</v>
      </c>
      <c r="AC48" s="128">
        <v>220000</v>
      </c>
      <c r="AD48" s="128">
        <v>960000</v>
      </c>
      <c r="AE48" s="125" t="s">
        <v>352</v>
      </c>
      <c r="AF48" s="129" t="s">
        <v>345</v>
      </c>
      <c r="AG48" s="130">
        <v>3.4804714500000005</v>
      </c>
      <c r="AH48" s="130">
        <v>2.1824267700000002</v>
      </c>
      <c r="AI48" s="130">
        <v>1.2980446800000003</v>
      </c>
      <c r="AJ48" s="130">
        <v>0</v>
      </c>
      <c r="AK48" s="130">
        <v>1.1909167984958682</v>
      </c>
      <c r="AL48" s="130">
        <v>0</v>
      </c>
      <c r="AM48" s="138"/>
      <c r="AN48" s="182"/>
      <c r="AO48" s="183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27"/>
      <c r="BK48" s="184"/>
      <c r="BL48" s="184"/>
      <c r="BM48" s="184"/>
      <c r="BN48" s="182"/>
      <c r="BO48" s="182"/>
      <c r="BP48" s="182"/>
      <c r="BQ48" s="185"/>
      <c r="BR48" s="188"/>
      <c r="BS48" s="187"/>
      <c r="BT48" s="187"/>
      <c r="BU48" s="187"/>
      <c r="BV48" s="187"/>
      <c r="BW48" s="187"/>
      <c r="BX48" s="187"/>
      <c r="BY48" s="138"/>
      <c r="BZ48" s="182"/>
      <c r="CA48" s="183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</row>
    <row r="49" spans="1:92" s="181" customFormat="1" ht="10.5" customHeight="1" x14ac:dyDescent="0.25">
      <c r="A49" s="133"/>
      <c r="B49" s="159" t="s">
        <v>474</v>
      </c>
      <c r="C49" s="133"/>
      <c r="D49" s="135">
        <v>5292</v>
      </c>
      <c r="E49" s="133"/>
      <c r="F49" s="133"/>
      <c r="G49" s="135">
        <v>1098502.8799999999</v>
      </c>
      <c r="H49" s="135">
        <v>1041646.8800000001</v>
      </c>
      <c r="I49" s="135">
        <v>827105.88000000012</v>
      </c>
      <c r="J49" s="135">
        <v>100530.4</v>
      </c>
      <c r="K49" s="135">
        <v>0</v>
      </c>
      <c r="L49" s="135">
        <v>7228</v>
      </c>
      <c r="M49" s="135">
        <v>85330.8</v>
      </c>
      <c r="N49" s="135">
        <v>6949.4</v>
      </c>
      <c r="O49" s="135">
        <v>47241.4</v>
      </c>
      <c r="P49" s="135">
        <v>0</v>
      </c>
      <c r="Q49" s="135">
        <v>1038</v>
      </c>
      <c r="R49" s="135">
        <v>31140</v>
      </c>
      <c r="S49" s="135">
        <v>30741.440415097539</v>
      </c>
      <c r="T49" s="135">
        <v>26380.637561715223</v>
      </c>
      <c r="U49" s="135">
        <v>4360.8028533823208</v>
      </c>
      <c r="V49" s="135">
        <v>10080.458438986667</v>
      </c>
      <c r="W49" s="135">
        <v>2545.9716250799997</v>
      </c>
      <c r="X49" s="135">
        <v>7534.4868139066684</v>
      </c>
      <c r="Y49" s="135">
        <v>0</v>
      </c>
      <c r="Z49" s="135">
        <v>0</v>
      </c>
      <c r="AA49" s="136"/>
      <c r="AB49" s="135"/>
      <c r="AC49" s="135"/>
      <c r="AD49" s="135"/>
      <c r="AE49" s="136"/>
      <c r="AF49" s="136"/>
      <c r="AG49" s="137">
        <v>6632.543825163174</v>
      </c>
      <c r="AH49" s="137">
        <v>6630.5004300860874</v>
      </c>
      <c r="AI49" s="137">
        <v>2.0433950770875002</v>
      </c>
      <c r="AJ49" s="137">
        <v>0</v>
      </c>
      <c r="AK49" s="137">
        <v>1.8639576478719539</v>
      </c>
      <c r="AL49" s="137">
        <v>0</v>
      </c>
      <c r="AM49" s="189"/>
      <c r="AN49" s="190"/>
      <c r="AO49" s="190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91"/>
      <c r="BK49" s="189"/>
      <c r="BL49" s="189"/>
      <c r="BM49" s="189"/>
      <c r="BN49" s="191"/>
      <c r="BO49" s="191"/>
      <c r="BP49" s="191"/>
      <c r="BQ49" s="191"/>
      <c r="BR49" s="191"/>
      <c r="BS49" s="192"/>
      <c r="BT49" s="192"/>
      <c r="BU49" s="192"/>
      <c r="BV49" s="192"/>
      <c r="BW49" s="192"/>
      <c r="BX49" s="192"/>
      <c r="BY49" s="189"/>
      <c r="BZ49" s="190"/>
      <c r="CA49" s="190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</row>
    <row r="50" spans="1:92" s="181" customFormat="1" ht="10.5" customHeight="1" x14ac:dyDescent="0.25">
      <c r="A50" s="172"/>
      <c r="B50" s="119" t="s">
        <v>376</v>
      </c>
      <c r="C50" s="172"/>
      <c r="D50" s="171"/>
      <c r="E50" s="172"/>
      <c r="F50" s="172"/>
      <c r="G50" s="172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71"/>
      <c r="T50" s="171"/>
      <c r="U50" s="171"/>
      <c r="V50" s="171"/>
      <c r="W50" s="171"/>
      <c r="X50" s="171"/>
      <c r="Y50" s="171"/>
      <c r="Z50" s="171"/>
      <c r="AA50" s="171"/>
      <c r="AB50" s="120"/>
      <c r="AC50" s="120"/>
      <c r="AD50" s="120"/>
      <c r="AE50" s="171"/>
      <c r="AF50" s="171"/>
      <c r="AG50" s="171"/>
      <c r="AH50" s="171"/>
      <c r="AI50" s="121"/>
      <c r="AJ50" s="121"/>
      <c r="AK50" s="121"/>
      <c r="AL50" s="121"/>
      <c r="AM50" s="175"/>
      <c r="AN50" s="176"/>
      <c r="AO50" s="176"/>
      <c r="AP50" s="176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5"/>
      <c r="BC50" s="175"/>
      <c r="BD50" s="175"/>
      <c r="BE50" s="175"/>
      <c r="BF50" s="175"/>
      <c r="BG50" s="175"/>
      <c r="BH50" s="175"/>
      <c r="BI50" s="175"/>
      <c r="BJ50" s="175"/>
      <c r="BK50" s="178"/>
      <c r="BL50" s="178"/>
      <c r="BM50" s="178"/>
      <c r="BN50" s="175"/>
      <c r="BO50" s="179"/>
      <c r="BP50" s="179"/>
      <c r="BQ50" s="179"/>
      <c r="BR50" s="175"/>
      <c r="BS50" s="175"/>
      <c r="BT50" s="175"/>
      <c r="BU50" s="180"/>
      <c r="BV50" s="180"/>
      <c r="BW50" s="180"/>
      <c r="BX50" s="180"/>
      <c r="BY50" s="175"/>
      <c r="BZ50" s="176"/>
      <c r="CA50" s="176"/>
      <c r="CB50" s="176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5"/>
    </row>
    <row r="51" spans="1:92" s="181" customFormat="1" ht="31.5" x14ac:dyDescent="0.25">
      <c r="A51" s="122">
        <v>36</v>
      </c>
      <c r="B51" s="123" t="s">
        <v>98</v>
      </c>
      <c r="C51" s="122" t="s">
        <v>349</v>
      </c>
      <c r="D51" s="124">
        <v>10501</v>
      </c>
      <c r="E51" s="125" t="s">
        <v>344</v>
      </c>
      <c r="F51" s="126">
        <v>36.299999999999997</v>
      </c>
      <c r="G51" s="124">
        <v>595196.19999999995</v>
      </c>
      <c r="H51" s="124">
        <v>532688.30000000005</v>
      </c>
      <c r="I51" s="124">
        <v>468073.6</v>
      </c>
      <c r="J51" s="124">
        <v>30590.6</v>
      </c>
      <c r="K51" s="124">
        <v>0</v>
      </c>
      <c r="L51" s="124">
        <v>2201</v>
      </c>
      <c r="M51" s="124">
        <v>37782.700000000004</v>
      </c>
      <c r="N51" s="124">
        <v>27920.800000000003</v>
      </c>
      <c r="O51" s="124">
        <v>801.89999999999986</v>
      </c>
      <c r="P51" s="124">
        <v>0</v>
      </c>
      <c r="Q51" s="124">
        <v>302</v>
      </c>
      <c r="R51" s="124">
        <v>9060</v>
      </c>
      <c r="S51" s="124">
        <v>28076.022257393499</v>
      </c>
      <c r="T51" s="124">
        <v>28030.314820486357</v>
      </c>
      <c r="U51" s="124">
        <v>45.707436907142856</v>
      </c>
      <c r="V51" s="124">
        <v>12105.827847796665</v>
      </c>
      <c r="W51" s="124">
        <v>2993.8467426299999</v>
      </c>
      <c r="X51" s="124">
        <v>9111.9811051666657</v>
      </c>
      <c r="Y51" s="124">
        <v>0</v>
      </c>
      <c r="Z51" s="124">
        <v>0</v>
      </c>
      <c r="AA51" s="127">
        <v>0.188</v>
      </c>
      <c r="AB51" s="128">
        <v>294000</v>
      </c>
      <c r="AC51" s="128">
        <v>301000</v>
      </c>
      <c r="AD51" s="128">
        <v>800000</v>
      </c>
      <c r="AE51" s="125" t="s">
        <v>352</v>
      </c>
      <c r="AF51" s="129" t="s">
        <v>350</v>
      </c>
      <c r="AG51" s="130">
        <v>11.248871339999999</v>
      </c>
      <c r="AH51" s="130">
        <v>11.248871339999999</v>
      </c>
      <c r="AI51" s="130">
        <v>0</v>
      </c>
      <c r="AJ51" s="130">
        <v>0</v>
      </c>
      <c r="AK51" s="130">
        <v>0</v>
      </c>
      <c r="AL51" s="130">
        <v>0</v>
      </c>
      <c r="AM51" s="138"/>
      <c r="AN51" s="182"/>
      <c r="AO51" s="183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27"/>
      <c r="BK51" s="184"/>
      <c r="BL51" s="184"/>
      <c r="BM51" s="184"/>
      <c r="BN51" s="182"/>
      <c r="BO51" s="182"/>
      <c r="BP51" s="182"/>
      <c r="BQ51" s="185"/>
      <c r="BR51" s="188"/>
      <c r="BS51" s="187"/>
      <c r="BT51" s="187"/>
      <c r="BU51" s="187"/>
      <c r="BV51" s="187"/>
      <c r="BW51" s="187"/>
      <c r="BX51" s="187"/>
      <c r="BY51" s="138"/>
      <c r="BZ51" s="182"/>
      <c r="CA51" s="183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</row>
    <row r="52" spans="1:92" s="181" customFormat="1" ht="21" x14ac:dyDescent="0.25">
      <c r="A52" s="122">
        <v>37</v>
      </c>
      <c r="B52" s="123" t="s">
        <v>377</v>
      </c>
      <c r="C52" s="122" t="s">
        <v>349</v>
      </c>
      <c r="D52" s="124">
        <v>4375</v>
      </c>
      <c r="E52" s="125" t="s">
        <v>342</v>
      </c>
      <c r="F52" s="126">
        <v>3</v>
      </c>
      <c r="G52" s="124">
        <v>62062.1</v>
      </c>
      <c r="H52" s="124">
        <v>59118.6</v>
      </c>
      <c r="I52" s="124">
        <v>47592.2</v>
      </c>
      <c r="J52" s="124">
        <v>6200.8</v>
      </c>
      <c r="K52" s="124">
        <v>0</v>
      </c>
      <c r="L52" s="124">
        <v>395</v>
      </c>
      <c r="M52" s="124">
        <v>3731.8</v>
      </c>
      <c r="N52" s="124">
        <v>2364.5</v>
      </c>
      <c r="O52" s="124">
        <v>197.3</v>
      </c>
      <c r="P52" s="124">
        <v>0</v>
      </c>
      <c r="Q52" s="124">
        <v>39</v>
      </c>
      <c r="R52" s="124">
        <v>1170</v>
      </c>
      <c r="S52" s="124">
        <v>7099.876381680001</v>
      </c>
      <c r="T52" s="124">
        <v>7076.3355816800013</v>
      </c>
      <c r="U52" s="124">
        <v>23.540799999999997</v>
      </c>
      <c r="V52" s="124">
        <v>5496.4183606399993</v>
      </c>
      <c r="W52" s="124">
        <v>4275.2789351399997</v>
      </c>
      <c r="X52" s="124">
        <v>1221.1394254999996</v>
      </c>
      <c r="Y52" s="124">
        <v>0</v>
      </c>
      <c r="Z52" s="124">
        <v>0</v>
      </c>
      <c r="AA52" s="127">
        <v>0.188</v>
      </c>
      <c r="AB52" s="128">
        <v>413000</v>
      </c>
      <c r="AC52" s="128">
        <v>309000</v>
      </c>
      <c r="AD52" s="128">
        <v>3900000</v>
      </c>
      <c r="AE52" s="125" t="s">
        <v>352</v>
      </c>
      <c r="AF52" s="122">
        <v>2021</v>
      </c>
      <c r="AG52" s="130">
        <v>2392.6788787500009</v>
      </c>
      <c r="AH52" s="130">
        <v>2392.4129515900008</v>
      </c>
      <c r="AI52" s="130">
        <v>0.26592716000004657</v>
      </c>
      <c r="AJ52" s="130">
        <v>0</v>
      </c>
      <c r="AK52" s="130">
        <v>0.24398013943580013</v>
      </c>
      <c r="AL52" s="130">
        <v>0</v>
      </c>
      <c r="AM52" s="138"/>
      <c r="AN52" s="182"/>
      <c r="AO52" s="183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27"/>
      <c r="BK52" s="184"/>
      <c r="BL52" s="184"/>
      <c r="BM52" s="184"/>
      <c r="BN52" s="182"/>
      <c r="BO52" s="182"/>
      <c r="BP52" s="182"/>
      <c r="BQ52" s="185"/>
      <c r="BR52" s="186"/>
      <c r="BS52" s="187"/>
      <c r="BT52" s="187"/>
      <c r="BU52" s="187"/>
      <c r="BV52" s="187"/>
      <c r="BW52" s="187"/>
      <c r="BX52" s="187"/>
      <c r="BY52" s="138"/>
      <c r="BZ52" s="182"/>
      <c r="CA52" s="183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</row>
    <row r="53" spans="1:92" s="181" customFormat="1" x14ac:dyDescent="0.25">
      <c r="A53" s="122">
        <v>38</v>
      </c>
      <c r="B53" s="123" t="s">
        <v>97</v>
      </c>
      <c r="C53" s="122" t="s">
        <v>349</v>
      </c>
      <c r="D53" s="124">
        <v>3846</v>
      </c>
      <c r="E53" s="125" t="s">
        <v>342</v>
      </c>
      <c r="F53" s="126">
        <v>2.1</v>
      </c>
      <c r="G53" s="124">
        <v>39745.699999999997</v>
      </c>
      <c r="H53" s="124">
        <v>39449.5</v>
      </c>
      <c r="I53" s="124">
        <v>32707.4</v>
      </c>
      <c r="J53" s="124">
        <v>1708</v>
      </c>
      <c r="K53" s="124">
        <v>0</v>
      </c>
      <c r="L53" s="124">
        <v>374</v>
      </c>
      <c r="M53" s="124">
        <v>17433.300000000003</v>
      </c>
      <c r="N53" s="124">
        <v>9132.6</v>
      </c>
      <c r="O53" s="124">
        <v>770.7</v>
      </c>
      <c r="P53" s="124">
        <v>0</v>
      </c>
      <c r="Q53" s="124">
        <v>251</v>
      </c>
      <c r="R53" s="124">
        <v>7530</v>
      </c>
      <c r="S53" s="124">
        <v>4631.0720974919004</v>
      </c>
      <c r="T53" s="124">
        <v>4627.0039168336334</v>
      </c>
      <c r="U53" s="124">
        <v>4.0681806582666669</v>
      </c>
      <c r="V53" s="124">
        <v>4695.7615424040005</v>
      </c>
      <c r="W53" s="124">
        <v>1063.38288053</v>
      </c>
      <c r="X53" s="124">
        <v>3632.3786618740005</v>
      </c>
      <c r="Y53" s="124">
        <v>0</v>
      </c>
      <c r="Z53" s="124">
        <v>0</v>
      </c>
      <c r="AA53" s="127">
        <v>0.188</v>
      </c>
      <c r="AB53" s="128">
        <v>300000</v>
      </c>
      <c r="AC53" s="128">
        <v>347000</v>
      </c>
      <c r="AD53" s="128">
        <v>2000000</v>
      </c>
      <c r="AE53" s="125" t="s">
        <v>352</v>
      </c>
      <c r="AF53" s="122" t="s">
        <v>353</v>
      </c>
      <c r="AG53" s="130">
        <v>624.35544603000005</v>
      </c>
      <c r="AH53" s="130">
        <v>624.35544603000005</v>
      </c>
      <c r="AI53" s="130">
        <v>0</v>
      </c>
      <c r="AJ53" s="130">
        <v>0</v>
      </c>
      <c r="AK53" s="130">
        <v>0</v>
      </c>
      <c r="AL53" s="130">
        <v>0</v>
      </c>
      <c r="AM53" s="138"/>
      <c r="AN53" s="182"/>
      <c r="AO53" s="183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27"/>
      <c r="BK53" s="184"/>
      <c r="BL53" s="184"/>
      <c r="BM53" s="184"/>
      <c r="BN53" s="182"/>
      <c r="BO53" s="182"/>
      <c r="BP53" s="182"/>
      <c r="BQ53" s="185"/>
      <c r="BR53" s="186"/>
      <c r="BS53" s="187"/>
      <c r="BT53" s="187"/>
      <c r="BU53" s="187"/>
      <c r="BV53" s="187"/>
      <c r="BW53" s="187"/>
      <c r="BX53" s="187"/>
      <c r="BY53" s="138"/>
      <c r="BZ53" s="182"/>
      <c r="CA53" s="183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</row>
    <row r="54" spans="1:92" s="181" customFormat="1" hidden="1" outlineLevel="1" x14ac:dyDescent="0.25">
      <c r="A54" s="122">
        <v>0</v>
      </c>
      <c r="B54" s="123" t="s">
        <v>97</v>
      </c>
      <c r="C54" s="122" t="s">
        <v>349</v>
      </c>
      <c r="D54" s="124">
        <v>722</v>
      </c>
      <c r="E54" s="125" t="s">
        <v>342</v>
      </c>
      <c r="F54" s="126">
        <v>2.1</v>
      </c>
      <c r="G54" s="124">
        <v>23655.200000000001</v>
      </c>
      <c r="H54" s="124">
        <v>23655.200000000001</v>
      </c>
      <c r="I54" s="124">
        <v>19723.900000000001</v>
      </c>
      <c r="J54" s="124">
        <v>1002</v>
      </c>
      <c r="K54" s="124">
        <v>0</v>
      </c>
      <c r="L54" s="124">
        <v>219</v>
      </c>
      <c r="M54" s="124">
        <v>5837.7</v>
      </c>
      <c r="N54" s="124">
        <v>1755.9</v>
      </c>
      <c r="O54" s="124">
        <v>211.8</v>
      </c>
      <c r="P54" s="124">
        <v>0</v>
      </c>
      <c r="Q54" s="124">
        <v>129</v>
      </c>
      <c r="R54" s="124">
        <v>3870</v>
      </c>
      <c r="S54" s="124">
        <v>2333.6584745176133</v>
      </c>
      <c r="T54" s="124">
        <v>2333.5504745456133</v>
      </c>
      <c r="U54" s="124">
        <v>0.10799997200000462</v>
      </c>
      <c r="V54" s="124">
        <v>867.03253727399999</v>
      </c>
      <c r="W54" s="124">
        <v>0</v>
      </c>
      <c r="X54" s="124">
        <v>867.03253727399999</v>
      </c>
      <c r="Y54" s="124">
        <v>0</v>
      </c>
      <c r="Z54" s="124">
        <v>0</v>
      </c>
      <c r="AA54" s="127">
        <v>0.188</v>
      </c>
      <c r="AB54" s="128">
        <v>300000</v>
      </c>
      <c r="AC54" s="128">
        <v>347000</v>
      </c>
      <c r="AD54" s="128">
        <v>2000000</v>
      </c>
      <c r="AE54" s="125" t="s">
        <v>352</v>
      </c>
      <c r="AF54" s="122">
        <v>2022</v>
      </c>
      <c r="AG54" s="130">
        <v>605.37679005000007</v>
      </c>
      <c r="AH54" s="130">
        <v>605.37679005000007</v>
      </c>
      <c r="AI54" s="130">
        <v>0</v>
      </c>
      <c r="AJ54" s="130">
        <v>0</v>
      </c>
      <c r="AK54" s="130">
        <v>0</v>
      </c>
      <c r="AL54" s="130">
        <v>0</v>
      </c>
      <c r="AM54" s="138"/>
      <c r="AN54" s="182"/>
      <c r="AO54" s="183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27"/>
      <c r="BK54" s="184"/>
      <c r="BL54" s="184"/>
      <c r="BM54" s="184"/>
      <c r="BN54" s="182"/>
      <c r="BO54" s="182"/>
      <c r="BP54" s="182"/>
      <c r="BQ54" s="185"/>
      <c r="BR54" s="186"/>
      <c r="BS54" s="187"/>
      <c r="BT54" s="187"/>
      <c r="BU54" s="187"/>
      <c r="BV54" s="187"/>
      <c r="BW54" s="187"/>
      <c r="BX54" s="187"/>
      <c r="BY54" s="138"/>
      <c r="BZ54" s="182"/>
      <c r="CA54" s="183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8"/>
      <c r="CN54" s="138"/>
    </row>
    <row r="55" spans="1:92" s="181" customFormat="1" hidden="1" outlineLevel="1" x14ac:dyDescent="0.25">
      <c r="A55" s="122">
        <v>0</v>
      </c>
      <c r="B55" s="123" t="s">
        <v>475</v>
      </c>
      <c r="C55" s="122" t="s">
        <v>349</v>
      </c>
      <c r="D55" s="124">
        <v>3124</v>
      </c>
      <c r="E55" s="125" t="s">
        <v>342</v>
      </c>
      <c r="F55" s="126">
        <v>2.0825</v>
      </c>
      <c r="G55" s="124">
        <v>16090.5</v>
      </c>
      <c r="H55" s="124">
        <v>15794.3</v>
      </c>
      <c r="I55" s="124">
        <v>12983.5</v>
      </c>
      <c r="J55" s="124">
        <v>706</v>
      </c>
      <c r="K55" s="124">
        <v>0</v>
      </c>
      <c r="L55" s="124">
        <v>155</v>
      </c>
      <c r="M55" s="124">
        <v>11595.599999999999</v>
      </c>
      <c r="N55" s="124">
        <v>7376.7</v>
      </c>
      <c r="O55" s="124">
        <v>558.9</v>
      </c>
      <c r="P55" s="124">
        <v>0</v>
      </c>
      <c r="Q55" s="124">
        <v>122</v>
      </c>
      <c r="R55" s="124">
        <v>3660</v>
      </c>
      <c r="S55" s="124">
        <v>2297.4136229742871</v>
      </c>
      <c r="T55" s="124">
        <v>2293.4534422880206</v>
      </c>
      <c r="U55" s="124">
        <v>3.960180686266662</v>
      </c>
      <c r="V55" s="124">
        <v>3828.7290051300006</v>
      </c>
      <c r="W55" s="124">
        <v>1063.38288053</v>
      </c>
      <c r="X55" s="124">
        <v>2765.3461246000006</v>
      </c>
      <c r="Y55" s="124">
        <v>0</v>
      </c>
      <c r="Z55" s="124">
        <v>0</v>
      </c>
      <c r="AA55" s="127">
        <v>0.188</v>
      </c>
      <c r="AB55" s="128">
        <v>300000</v>
      </c>
      <c r="AC55" s="128">
        <v>347000</v>
      </c>
      <c r="AD55" s="128">
        <v>2000000</v>
      </c>
      <c r="AE55" s="125" t="s">
        <v>352</v>
      </c>
      <c r="AF55" s="122">
        <v>2024</v>
      </c>
      <c r="AG55" s="130">
        <v>18.978655979999999</v>
      </c>
      <c r="AH55" s="130">
        <v>18.978655979999999</v>
      </c>
      <c r="AI55" s="130">
        <v>0</v>
      </c>
      <c r="AJ55" s="130">
        <v>0</v>
      </c>
      <c r="AK55" s="130">
        <v>0</v>
      </c>
      <c r="AL55" s="130">
        <v>0</v>
      </c>
      <c r="AM55" s="138"/>
      <c r="AN55" s="182"/>
      <c r="AO55" s="183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27"/>
      <c r="BK55" s="184"/>
      <c r="BL55" s="184"/>
      <c r="BM55" s="184"/>
      <c r="BN55" s="182"/>
      <c r="BO55" s="182"/>
      <c r="BP55" s="182"/>
      <c r="BQ55" s="185"/>
      <c r="BR55" s="186"/>
      <c r="BS55" s="187"/>
      <c r="BT55" s="187"/>
      <c r="BU55" s="187"/>
      <c r="BV55" s="187"/>
      <c r="BW55" s="187"/>
      <c r="BX55" s="187"/>
      <c r="BY55" s="138"/>
      <c r="BZ55" s="182"/>
      <c r="CA55" s="183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</row>
    <row r="56" spans="1:92" s="181" customFormat="1" ht="10.5" customHeight="1" collapsed="1" x14ac:dyDescent="0.25">
      <c r="A56" s="122">
        <v>39</v>
      </c>
      <c r="B56" s="123" t="s">
        <v>351</v>
      </c>
      <c r="C56" s="122" t="s">
        <v>349</v>
      </c>
      <c r="D56" s="124">
        <v>3740</v>
      </c>
      <c r="E56" s="125" t="s">
        <v>342</v>
      </c>
      <c r="F56" s="126">
        <v>6.95</v>
      </c>
      <c r="G56" s="124">
        <v>113033.4</v>
      </c>
      <c r="H56" s="124">
        <v>108684.9</v>
      </c>
      <c r="I56" s="124">
        <v>91704.4</v>
      </c>
      <c r="J56" s="124">
        <v>3374.6</v>
      </c>
      <c r="K56" s="124">
        <v>0</v>
      </c>
      <c r="L56" s="124">
        <v>1023</v>
      </c>
      <c r="M56" s="124">
        <v>22354.7</v>
      </c>
      <c r="N56" s="124">
        <v>10651.5</v>
      </c>
      <c r="O56" s="124">
        <v>990.6</v>
      </c>
      <c r="P56" s="124">
        <v>0</v>
      </c>
      <c r="Q56" s="124">
        <v>759</v>
      </c>
      <c r="R56" s="124">
        <v>10712.6</v>
      </c>
      <c r="S56" s="124">
        <v>10628.92059070795</v>
      </c>
      <c r="T56" s="124">
        <v>9674.4176171661657</v>
      </c>
      <c r="U56" s="124">
        <v>954.50297354178485</v>
      </c>
      <c r="V56" s="124">
        <v>5497.6360236410401</v>
      </c>
      <c r="W56" s="124">
        <v>1041.13516179</v>
      </c>
      <c r="X56" s="124">
        <v>4456.5008618510401</v>
      </c>
      <c r="Y56" s="124">
        <v>0</v>
      </c>
      <c r="Z56" s="124">
        <v>0</v>
      </c>
      <c r="AA56" s="127">
        <v>0.21199999999999999</v>
      </c>
      <c r="AB56" s="128">
        <v>300000</v>
      </c>
      <c r="AC56" s="128">
        <v>234000</v>
      </c>
      <c r="AD56" s="128">
        <v>1140000</v>
      </c>
      <c r="AE56" s="193" t="s">
        <v>340</v>
      </c>
      <c r="AF56" s="122">
        <v>2022</v>
      </c>
      <c r="AG56" s="130">
        <v>2501.7300228699996</v>
      </c>
      <c r="AH56" s="130">
        <v>2501.7300228699996</v>
      </c>
      <c r="AI56" s="130">
        <v>0</v>
      </c>
      <c r="AJ56" s="130">
        <v>0</v>
      </c>
      <c r="AK56" s="130">
        <v>0</v>
      </c>
      <c r="AL56" s="130">
        <v>0</v>
      </c>
      <c r="AM56" s="138"/>
      <c r="AN56" s="182"/>
      <c r="AO56" s="183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27"/>
      <c r="BK56" s="184"/>
      <c r="BL56" s="184"/>
      <c r="BM56" s="184"/>
      <c r="BN56" s="182"/>
      <c r="BO56" s="182"/>
      <c r="BP56" s="182"/>
      <c r="BQ56" s="185"/>
      <c r="BR56" s="186"/>
      <c r="BS56" s="187"/>
      <c r="BT56" s="187"/>
      <c r="BU56" s="187"/>
      <c r="BV56" s="187"/>
      <c r="BW56" s="187"/>
      <c r="BX56" s="187"/>
      <c r="BY56" s="138"/>
      <c r="BZ56" s="182"/>
      <c r="CA56" s="183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</row>
    <row r="57" spans="1:92" s="181" customFormat="1" ht="10.5" customHeight="1" x14ac:dyDescent="0.25">
      <c r="A57" s="122">
        <v>40</v>
      </c>
      <c r="B57" s="123" t="s">
        <v>111</v>
      </c>
      <c r="C57" s="122" t="s">
        <v>349</v>
      </c>
      <c r="D57" s="124">
        <v>2270</v>
      </c>
      <c r="E57" s="125" t="s">
        <v>342</v>
      </c>
      <c r="F57" s="126">
        <v>35.4</v>
      </c>
      <c r="G57" s="124">
        <v>605514.80000000016</v>
      </c>
      <c r="H57" s="124">
        <v>605514.80000000016</v>
      </c>
      <c r="I57" s="124">
        <v>500891.00000000006</v>
      </c>
      <c r="J57" s="124">
        <v>30521.4</v>
      </c>
      <c r="K57" s="124">
        <v>0</v>
      </c>
      <c r="L57" s="124">
        <v>2333</v>
      </c>
      <c r="M57" s="124">
        <v>10969.7</v>
      </c>
      <c r="N57" s="124">
        <v>10579.7</v>
      </c>
      <c r="O57" s="124">
        <v>0</v>
      </c>
      <c r="P57" s="124">
        <v>0</v>
      </c>
      <c r="Q57" s="124">
        <v>13</v>
      </c>
      <c r="R57" s="124">
        <v>390</v>
      </c>
      <c r="S57" s="124">
        <v>0</v>
      </c>
      <c r="T57" s="124">
        <v>0</v>
      </c>
      <c r="U57" s="124">
        <v>0</v>
      </c>
      <c r="V57" s="124">
        <v>2814.2351093433331</v>
      </c>
      <c r="W57" s="124">
        <v>385.52289397999994</v>
      </c>
      <c r="X57" s="124">
        <v>2428.7122153633331</v>
      </c>
      <c r="Y57" s="124">
        <v>0</v>
      </c>
      <c r="Z57" s="124">
        <v>0</v>
      </c>
      <c r="AA57" s="127">
        <v>0.188</v>
      </c>
      <c r="AB57" s="128">
        <v>210000</v>
      </c>
      <c r="AC57" s="128">
        <v>0</v>
      </c>
      <c r="AD57" s="128">
        <v>440000</v>
      </c>
      <c r="AE57" s="125" t="s">
        <v>352</v>
      </c>
      <c r="AF57" s="122">
        <v>2010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8"/>
      <c r="AN57" s="182"/>
      <c r="AO57" s="183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27"/>
      <c r="BK57" s="184"/>
      <c r="BL57" s="184"/>
      <c r="BM57" s="184"/>
      <c r="BN57" s="182"/>
      <c r="BO57" s="182"/>
      <c r="BP57" s="182"/>
      <c r="BQ57" s="185"/>
      <c r="BR57" s="186"/>
      <c r="BS57" s="187"/>
      <c r="BT57" s="187"/>
      <c r="BU57" s="187"/>
      <c r="BV57" s="187"/>
      <c r="BW57" s="187"/>
      <c r="BX57" s="187"/>
      <c r="BY57" s="138"/>
      <c r="BZ57" s="182"/>
      <c r="CA57" s="183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</row>
    <row r="58" spans="1:92" s="181" customFormat="1" ht="10.5" customHeight="1" x14ac:dyDescent="0.25">
      <c r="A58" s="122">
        <v>41</v>
      </c>
      <c r="B58" s="123" t="s">
        <v>356</v>
      </c>
      <c r="C58" s="122" t="s">
        <v>349</v>
      </c>
      <c r="D58" s="124">
        <v>1027</v>
      </c>
      <c r="E58" s="125" t="s">
        <v>342</v>
      </c>
      <c r="F58" s="126">
        <v>11.689</v>
      </c>
      <c r="G58" s="124">
        <v>49580.533814432987</v>
      </c>
      <c r="H58" s="124">
        <v>49580.533814432987</v>
      </c>
      <c r="I58" s="124">
        <v>38276.199999999997</v>
      </c>
      <c r="J58" s="124">
        <v>2768.1000000000004</v>
      </c>
      <c r="K58" s="124">
        <v>0</v>
      </c>
      <c r="L58" s="124">
        <v>638</v>
      </c>
      <c r="M58" s="124">
        <v>10002.5</v>
      </c>
      <c r="N58" s="124">
        <v>3582.5</v>
      </c>
      <c r="O58" s="124">
        <v>0</v>
      </c>
      <c r="P58" s="124">
        <v>0</v>
      </c>
      <c r="Q58" s="124">
        <v>214</v>
      </c>
      <c r="R58" s="124">
        <v>6420</v>
      </c>
      <c r="S58" s="124">
        <v>3958.7427943799812</v>
      </c>
      <c r="T58" s="124">
        <v>3907.2367497173623</v>
      </c>
      <c r="U58" s="124">
        <v>51.50604466261904</v>
      </c>
      <c r="V58" s="124">
        <v>1234.9786756486001</v>
      </c>
      <c r="W58" s="124">
        <v>89.353191340000009</v>
      </c>
      <c r="X58" s="124">
        <v>1145.6254843086001</v>
      </c>
      <c r="Y58" s="124">
        <v>0</v>
      </c>
      <c r="Z58" s="124">
        <v>0</v>
      </c>
      <c r="AA58" s="127">
        <v>0.188</v>
      </c>
      <c r="AB58" s="128">
        <v>260000</v>
      </c>
      <c r="AC58" s="128">
        <v>0</v>
      </c>
      <c r="AD58" s="128">
        <v>670000</v>
      </c>
      <c r="AE58" s="125" t="s">
        <v>352</v>
      </c>
      <c r="AF58" s="129" t="s">
        <v>353</v>
      </c>
      <c r="AG58" s="130">
        <v>239.77912438015039</v>
      </c>
      <c r="AH58" s="130">
        <v>239.77912438015039</v>
      </c>
      <c r="AI58" s="130">
        <v>0</v>
      </c>
      <c r="AJ58" s="130">
        <v>0</v>
      </c>
      <c r="AK58" s="130">
        <v>0</v>
      </c>
      <c r="AL58" s="130">
        <v>0</v>
      </c>
      <c r="AM58" s="138"/>
      <c r="AN58" s="182"/>
      <c r="AO58" s="183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27"/>
      <c r="BK58" s="184"/>
      <c r="BL58" s="184"/>
      <c r="BM58" s="184"/>
      <c r="BN58" s="182"/>
      <c r="BO58" s="182"/>
      <c r="BP58" s="182"/>
      <c r="BQ58" s="185"/>
      <c r="BR58" s="188"/>
      <c r="BS58" s="187"/>
      <c r="BT58" s="187"/>
      <c r="BU58" s="187"/>
      <c r="BV58" s="187"/>
      <c r="BW58" s="187"/>
      <c r="BX58" s="187"/>
      <c r="BY58" s="138"/>
      <c r="BZ58" s="182"/>
      <c r="CA58" s="183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</row>
    <row r="59" spans="1:92" s="181" customFormat="1" ht="10.5" customHeight="1" x14ac:dyDescent="0.25">
      <c r="A59" s="122">
        <v>42</v>
      </c>
      <c r="B59" s="123" t="s">
        <v>357</v>
      </c>
      <c r="C59" s="122" t="s">
        <v>349</v>
      </c>
      <c r="D59" s="124">
        <v>594</v>
      </c>
      <c r="E59" s="125" t="s">
        <v>342</v>
      </c>
      <c r="F59" s="126">
        <v>1.1279999999999999</v>
      </c>
      <c r="G59" s="124">
        <v>23611.1</v>
      </c>
      <c r="H59" s="124">
        <v>22847.4</v>
      </c>
      <c r="I59" s="124">
        <v>19158.199999999997</v>
      </c>
      <c r="J59" s="124">
        <v>1574.5</v>
      </c>
      <c r="K59" s="124">
        <v>0</v>
      </c>
      <c r="L59" s="124">
        <v>159</v>
      </c>
      <c r="M59" s="124">
        <v>1330.5</v>
      </c>
      <c r="N59" s="124">
        <v>0</v>
      </c>
      <c r="O59" s="124">
        <v>10.5</v>
      </c>
      <c r="P59" s="124">
        <v>0</v>
      </c>
      <c r="Q59" s="124">
        <v>44</v>
      </c>
      <c r="R59" s="124">
        <v>1320</v>
      </c>
      <c r="S59" s="124">
        <v>3837.1010782384064</v>
      </c>
      <c r="T59" s="124">
        <v>3837.1010782384064</v>
      </c>
      <c r="U59" s="124">
        <v>0</v>
      </c>
      <c r="V59" s="124">
        <v>1363.89165518</v>
      </c>
      <c r="W59" s="124">
        <v>367.80519309999994</v>
      </c>
      <c r="X59" s="124">
        <v>75.594100000000026</v>
      </c>
      <c r="Y59" s="124">
        <v>920.49236208000002</v>
      </c>
      <c r="Z59" s="124">
        <v>657.10914788000002</v>
      </c>
      <c r="AA59" s="127">
        <v>0.188</v>
      </c>
      <c r="AB59" s="128">
        <v>0</v>
      </c>
      <c r="AC59" s="128">
        <v>120000</v>
      </c>
      <c r="AD59" s="128">
        <v>1600000</v>
      </c>
      <c r="AE59" s="125" t="s">
        <v>352</v>
      </c>
      <c r="AF59" s="129" t="s">
        <v>362</v>
      </c>
      <c r="AG59" s="130">
        <v>648.20605901048498</v>
      </c>
      <c r="AH59" s="130">
        <v>648.20605901048498</v>
      </c>
      <c r="AI59" s="130">
        <v>0</v>
      </c>
      <c r="AJ59" s="130">
        <v>0</v>
      </c>
      <c r="AK59" s="130">
        <v>0</v>
      </c>
      <c r="AL59" s="130">
        <v>0</v>
      </c>
      <c r="AM59" s="138"/>
      <c r="AN59" s="182"/>
      <c r="AO59" s="183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27"/>
      <c r="BK59" s="184"/>
      <c r="BL59" s="184"/>
      <c r="BM59" s="184"/>
      <c r="BN59" s="182"/>
      <c r="BO59" s="182"/>
      <c r="BP59" s="182"/>
      <c r="BQ59" s="185"/>
      <c r="BR59" s="188"/>
      <c r="BS59" s="187"/>
      <c r="BT59" s="187"/>
      <c r="BU59" s="187"/>
      <c r="BV59" s="187"/>
      <c r="BW59" s="187"/>
      <c r="BX59" s="187"/>
      <c r="BY59" s="138"/>
      <c r="BZ59" s="182"/>
      <c r="CA59" s="183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</row>
    <row r="60" spans="1:92" s="181" customFormat="1" ht="10.5" customHeight="1" x14ac:dyDescent="0.25">
      <c r="A60" s="122">
        <v>43</v>
      </c>
      <c r="B60" s="123" t="s">
        <v>112</v>
      </c>
      <c r="C60" s="122" t="s">
        <v>349</v>
      </c>
      <c r="D60" s="124">
        <v>507</v>
      </c>
      <c r="E60" s="125" t="s">
        <v>342</v>
      </c>
      <c r="F60" s="126">
        <v>20.8</v>
      </c>
      <c r="G60" s="124">
        <v>390138.3000000001</v>
      </c>
      <c r="H60" s="124">
        <v>301394.73226187157</v>
      </c>
      <c r="I60" s="124">
        <v>200182.13333333333</v>
      </c>
      <c r="J60" s="124">
        <v>28413.93</v>
      </c>
      <c r="K60" s="124">
        <v>0</v>
      </c>
      <c r="L60" s="124">
        <v>2643</v>
      </c>
      <c r="M60" s="124">
        <v>46290</v>
      </c>
      <c r="N60" s="124">
        <v>0</v>
      </c>
      <c r="O60" s="124">
        <v>0</v>
      </c>
      <c r="P60" s="124">
        <v>0</v>
      </c>
      <c r="Q60" s="124">
        <v>1543</v>
      </c>
      <c r="R60" s="124">
        <v>46290</v>
      </c>
      <c r="S60" s="124">
        <v>0</v>
      </c>
      <c r="T60" s="124">
        <v>0</v>
      </c>
      <c r="U60" s="124">
        <v>0</v>
      </c>
      <c r="V60" s="124">
        <v>803.35706833075778</v>
      </c>
      <c r="W60" s="124">
        <v>98.542417729999997</v>
      </c>
      <c r="X60" s="124">
        <v>704.81465060075777</v>
      </c>
      <c r="Y60" s="124">
        <v>0</v>
      </c>
      <c r="Z60" s="124">
        <v>0</v>
      </c>
      <c r="AA60" s="127">
        <v>0.188</v>
      </c>
      <c r="AB60" s="128">
        <v>0</v>
      </c>
      <c r="AC60" s="128">
        <v>0</v>
      </c>
      <c r="AD60" s="128">
        <v>470000</v>
      </c>
      <c r="AE60" s="125" t="s">
        <v>352</v>
      </c>
      <c r="AF60" s="122">
        <v>2013</v>
      </c>
      <c r="AG60" s="130">
        <v>0</v>
      </c>
      <c r="AH60" s="130">
        <v>0</v>
      </c>
      <c r="AI60" s="130">
        <v>0</v>
      </c>
      <c r="AJ60" s="130">
        <v>0</v>
      </c>
      <c r="AK60" s="130">
        <v>0</v>
      </c>
      <c r="AL60" s="130">
        <v>0</v>
      </c>
      <c r="AM60" s="138"/>
      <c r="AN60" s="182"/>
      <c r="AO60" s="183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27"/>
      <c r="BK60" s="184"/>
      <c r="BL60" s="184"/>
      <c r="BM60" s="184"/>
      <c r="BN60" s="182"/>
      <c r="BO60" s="182"/>
      <c r="BP60" s="182"/>
      <c r="BQ60" s="185"/>
      <c r="BR60" s="186"/>
      <c r="BS60" s="187"/>
      <c r="BT60" s="187"/>
      <c r="BU60" s="187"/>
      <c r="BV60" s="187"/>
      <c r="BW60" s="187"/>
      <c r="BX60" s="187"/>
      <c r="BY60" s="138"/>
      <c r="BZ60" s="182"/>
      <c r="CA60" s="183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</row>
    <row r="61" spans="1:92" s="181" customFormat="1" ht="10.5" customHeight="1" x14ac:dyDescent="0.25">
      <c r="A61" s="122">
        <v>44</v>
      </c>
      <c r="B61" s="123" t="s">
        <v>100</v>
      </c>
      <c r="C61" s="122" t="s">
        <v>349</v>
      </c>
      <c r="D61" s="124">
        <v>386</v>
      </c>
      <c r="E61" s="125" t="s">
        <v>342</v>
      </c>
      <c r="F61" s="126">
        <v>4.2</v>
      </c>
      <c r="G61" s="124">
        <v>27455.700000000004</v>
      </c>
      <c r="H61" s="124">
        <v>27455.700000000004</v>
      </c>
      <c r="I61" s="124">
        <v>21717.5</v>
      </c>
      <c r="J61" s="124">
        <v>2691.7</v>
      </c>
      <c r="K61" s="124">
        <v>0</v>
      </c>
      <c r="L61" s="124">
        <v>226</v>
      </c>
      <c r="M61" s="124">
        <v>586.40000000000009</v>
      </c>
      <c r="N61" s="124">
        <v>0</v>
      </c>
      <c r="O61" s="124">
        <v>586.40000000000009</v>
      </c>
      <c r="P61" s="124">
        <v>0</v>
      </c>
      <c r="Q61" s="124">
        <v>0</v>
      </c>
      <c r="R61" s="124">
        <v>0</v>
      </c>
      <c r="S61" s="124">
        <v>1437.7460739800008</v>
      </c>
      <c r="T61" s="124">
        <v>1437.7460739800008</v>
      </c>
      <c r="U61" s="124">
        <v>0</v>
      </c>
      <c r="V61" s="124">
        <v>438.92538112000005</v>
      </c>
      <c r="W61" s="124">
        <v>366.02706512000003</v>
      </c>
      <c r="X61" s="124">
        <v>72.898316000000023</v>
      </c>
      <c r="Y61" s="124">
        <v>0</v>
      </c>
      <c r="Z61" s="124">
        <v>0</v>
      </c>
      <c r="AA61" s="127">
        <v>0.188</v>
      </c>
      <c r="AB61" s="128">
        <v>0</v>
      </c>
      <c r="AC61" s="128">
        <v>141000</v>
      </c>
      <c r="AD61" s="128">
        <v>0</v>
      </c>
      <c r="AE61" s="125" t="s">
        <v>352</v>
      </c>
      <c r="AF61" s="122">
        <v>2020</v>
      </c>
      <c r="AG61" s="130">
        <v>1059.2840531999998</v>
      </c>
      <c r="AH61" s="130">
        <v>1059.2840531999998</v>
      </c>
      <c r="AI61" s="130">
        <v>0</v>
      </c>
      <c r="AJ61" s="130">
        <v>0</v>
      </c>
      <c r="AK61" s="130">
        <v>0</v>
      </c>
      <c r="AL61" s="130">
        <v>0</v>
      </c>
      <c r="AM61" s="138"/>
      <c r="AN61" s="182"/>
      <c r="AO61" s="183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27"/>
      <c r="BK61" s="184"/>
      <c r="BL61" s="184"/>
      <c r="BM61" s="184"/>
      <c r="BN61" s="182"/>
      <c r="BO61" s="182"/>
      <c r="BP61" s="182"/>
      <c r="BQ61" s="185"/>
      <c r="BR61" s="186"/>
      <c r="BS61" s="187"/>
      <c r="BT61" s="187"/>
      <c r="BU61" s="187"/>
      <c r="BV61" s="187"/>
      <c r="BW61" s="187"/>
      <c r="BX61" s="187"/>
      <c r="BY61" s="138"/>
      <c r="BZ61" s="182"/>
      <c r="CA61" s="183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</row>
    <row r="62" spans="1:92" s="181" customFormat="1" ht="10.5" customHeight="1" x14ac:dyDescent="0.25">
      <c r="A62" s="122">
        <v>45</v>
      </c>
      <c r="B62" s="123" t="s">
        <v>416</v>
      </c>
      <c r="C62" s="122" t="s">
        <v>349</v>
      </c>
      <c r="D62" s="124">
        <v>342</v>
      </c>
      <c r="E62" s="125" t="s">
        <v>342</v>
      </c>
      <c r="F62" s="126">
        <v>2.8</v>
      </c>
      <c r="G62" s="124">
        <v>52544.4</v>
      </c>
      <c r="H62" s="124">
        <v>52544.4</v>
      </c>
      <c r="I62" s="124">
        <v>45849.9</v>
      </c>
      <c r="J62" s="124">
        <v>1016.6</v>
      </c>
      <c r="K62" s="124">
        <v>0</v>
      </c>
      <c r="L62" s="124">
        <v>426</v>
      </c>
      <c r="M62" s="124">
        <v>422.4</v>
      </c>
      <c r="N62" s="124">
        <v>182.4</v>
      </c>
      <c r="O62" s="124">
        <v>0</v>
      </c>
      <c r="P62" s="124">
        <v>0</v>
      </c>
      <c r="Q62" s="124">
        <v>8</v>
      </c>
      <c r="R62" s="124">
        <v>240</v>
      </c>
      <c r="S62" s="124">
        <v>3299.7408329400009</v>
      </c>
      <c r="T62" s="124">
        <v>3299.7408329400009</v>
      </c>
      <c r="U62" s="124">
        <v>0</v>
      </c>
      <c r="V62" s="124">
        <v>409.37350772999997</v>
      </c>
      <c r="W62" s="124">
        <v>350.58190773000001</v>
      </c>
      <c r="X62" s="124">
        <v>58.79159999999996</v>
      </c>
      <c r="Y62" s="124">
        <v>0</v>
      </c>
      <c r="Z62" s="124">
        <v>0</v>
      </c>
      <c r="AA62" s="127">
        <v>0.188</v>
      </c>
      <c r="AB62" s="128">
        <v>275000</v>
      </c>
      <c r="AC62" s="128">
        <v>0</v>
      </c>
      <c r="AD62" s="128">
        <v>810000</v>
      </c>
      <c r="AE62" s="125" t="s">
        <v>352</v>
      </c>
      <c r="AF62" s="122">
        <v>2021</v>
      </c>
      <c r="AG62" s="130">
        <v>1723.9431715700005</v>
      </c>
      <c r="AH62" s="130">
        <v>1723.9431715700005</v>
      </c>
      <c r="AI62" s="130">
        <v>0</v>
      </c>
      <c r="AJ62" s="130">
        <v>0</v>
      </c>
      <c r="AK62" s="130">
        <v>0</v>
      </c>
      <c r="AL62" s="130">
        <v>0</v>
      </c>
      <c r="AM62" s="138"/>
      <c r="AN62" s="182"/>
      <c r="AO62" s="183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27"/>
      <c r="BK62" s="184"/>
      <c r="BL62" s="184"/>
      <c r="BM62" s="184"/>
      <c r="BN62" s="182"/>
      <c r="BO62" s="182"/>
      <c r="BP62" s="182"/>
      <c r="BQ62" s="185"/>
      <c r="BR62" s="186"/>
      <c r="BS62" s="187"/>
      <c r="BT62" s="187"/>
      <c r="BU62" s="187"/>
      <c r="BV62" s="187"/>
      <c r="BW62" s="187"/>
      <c r="BX62" s="187"/>
      <c r="BY62" s="138"/>
      <c r="BZ62" s="182"/>
      <c r="CA62" s="183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</row>
    <row r="63" spans="1:92" s="181" customFormat="1" ht="10.5" customHeight="1" x14ac:dyDescent="0.25">
      <c r="A63" s="122">
        <v>46</v>
      </c>
      <c r="B63" s="123" t="s">
        <v>96</v>
      </c>
      <c r="C63" s="122" t="s">
        <v>349</v>
      </c>
      <c r="D63" s="124">
        <v>258</v>
      </c>
      <c r="E63" s="125" t="s">
        <v>342</v>
      </c>
      <c r="F63" s="126">
        <v>1.5</v>
      </c>
      <c r="G63" s="124">
        <v>36711.599999999999</v>
      </c>
      <c r="H63" s="124">
        <v>36711.599999999999</v>
      </c>
      <c r="I63" s="124">
        <v>28388.9</v>
      </c>
      <c r="J63" s="124">
        <v>3169.6000000000004</v>
      </c>
      <c r="K63" s="124">
        <v>0</v>
      </c>
      <c r="L63" s="124">
        <v>416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4">
        <v>0</v>
      </c>
      <c r="S63" s="124">
        <v>3175.125490150001</v>
      </c>
      <c r="T63" s="124">
        <v>3175.125490150001</v>
      </c>
      <c r="U63" s="124">
        <v>0</v>
      </c>
      <c r="V63" s="124">
        <v>368.32468469000003</v>
      </c>
      <c r="W63" s="124">
        <v>368.32468469000003</v>
      </c>
      <c r="X63" s="124">
        <v>0</v>
      </c>
      <c r="Y63" s="124">
        <v>0</v>
      </c>
      <c r="Z63" s="124">
        <v>0</v>
      </c>
      <c r="AA63" s="127">
        <v>0.188</v>
      </c>
      <c r="AB63" s="128">
        <v>0</v>
      </c>
      <c r="AC63" s="128">
        <v>0</v>
      </c>
      <c r="AD63" s="128">
        <v>0</v>
      </c>
      <c r="AE63" s="125" t="s">
        <v>352</v>
      </c>
      <c r="AF63" s="122">
        <v>2020</v>
      </c>
      <c r="AG63" s="130">
        <v>1568.10629668</v>
      </c>
      <c r="AH63" s="130">
        <v>1568.10629668</v>
      </c>
      <c r="AI63" s="130">
        <v>0</v>
      </c>
      <c r="AJ63" s="130">
        <v>0</v>
      </c>
      <c r="AK63" s="130">
        <v>0</v>
      </c>
      <c r="AL63" s="130">
        <v>0</v>
      </c>
      <c r="AM63" s="138"/>
      <c r="AN63" s="182"/>
      <c r="AO63" s="183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27"/>
      <c r="BK63" s="184"/>
      <c r="BL63" s="184"/>
      <c r="BM63" s="184"/>
      <c r="BN63" s="182"/>
      <c r="BO63" s="182"/>
      <c r="BP63" s="182"/>
      <c r="BQ63" s="185"/>
      <c r="BR63" s="186"/>
      <c r="BS63" s="187"/>
      <c r="BT63" s="187"/>
      <c r="BU63" s="187"/>
      <c r="BV63" s="187"/>
      <c r="BW63" s="187"/>
      <c r="BX63" s="187"/>
      <c r="BY63" s="138"/>
      <c r="BZ63" s="182"/>
      <c r="CA63" s="183"/>
      <c r="CB63" s="138"/>
      <c r="CC63" s="138"/>
      <c r="CD63" s="138"/>
      <c r="CE63" s="138"/>
      <c r="CF63" s="138"/>
      <c r="CG63" s="138"/>
      <c r="CH63" s="138"/>
      <c r="CI63" s="138"/>
      <c r="CJ63" s="138"/>
      <c r="CK63" s="138"/>
      <c r="CL63" s="138"/>
      <c r="CM63" s="138"/>
      <c r="CN63" s="138"/>
    </row>
    <row r="64" spans="1:92" s="181" customFormat="1" ht="10.5" customHeight="1" x14ac:dyDescent="0.25">
      <c r="A64" s="122">
        <v>47</v>
      </c>
      <c r="B64" s="123" t="s">
        <v>101</v>
      </c>
      <c r="C64" s="122" t="s">
        <v>349</v>
      </c>
      <c r="D64" s="124">
        <v>269</v>
      </c>
      <c r="E64" s="125" t="s">
        <v>342</v>
      </c>
      <c r="F64" s="126">
        <v>8.4</v>
      </c>
      <c r="G64" s="124">
        <v>209262.00000000003</v>
      </c>
      <c r="H64" s="124">
        <v>204053.40000000002</v>
      </c>
      <c r="I64" s="124">
        <v>136762.6</v>
      </c>
      <c r="J64" s="124">
        <v>14494.400000000001</v>
      </c>
      <c r="K64" s="124">
        <v>0</v>
      </c>
      <c r="L64" s="124">
        <v>884</v>
      </c>
      <c r="M64" s="124">
        <v>22177.8</v>
      </c>
      <c r="N64" s="124">
        <v>0</v>
      </c>
      <c r="O64" s="124">
        <v>97.8</v>
      </c>
      <c r="P64" s="124">
        <v>0</v>
      </c>
      <c r="Q64" s="124">
        <v>736</v>
      </c>
      <c r="R64" s="124">
        <v>22080</v>
      </c>
      <c r="S64" s="124">
        <v>0</v>
      </c>
      <c r="T64" s="124">
        <v>0</v>
      </c>
      <c r="U64" s="124">
        <v>0</v>
      </c>
      <c r="V64" s="124">
        <v>419.70249378593081</v>
      </c>
      <c r="W64" s="124">
        <v>50.860101280000002</v>
      </c>
      <c r="X64" s="124">
        <v>368.84239250593083</v>
      </c>
      <c r="Y64" s="124">
        <v>0</v>
      </c>
      <c r="Z64" s="124">
        <v>0</v>
      </c>
      <c r="AA64" s="127">
        <v>0.188</v>
      </c>
      <c r="AB64" s="128">
        <v>0</v>
      </c>
      <c r="AC64" s="128">
        <v>240000</v>
      </c>
      <c r="AD64" s="128">
        <v>480000</v>
      </c>
      <c r="AE64" s="125" t="s">
        <v>352</v>
      </c>
      <c r="AF64" s="122">
        <v>2015</v>
      </c>
      <c r="AG64" s="130">
        <v>0</v>
      </c>
      <c r="AH64" s="130">
        <v>0</v>
      </c>
      <c r="AI64" s="130">
        <v>0</v>
      </c>
      <c r="AJ64" s="130">
        <v>0</v>
      </c>
      <c r="AK64" s="130">
        <v>0</v>
      </c>
      <c r="AL64" s="130">
        <v>0</v>
      </c>
      <c r="AM64" s="138"/>
      <c r="AN64" s="182"/>
      <c r="AO64" s="183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27"/>
      <c r="BK64" s="184"/>
      <c r="BL64" s="184"/>
      <c r="BM64" s="184"/>
      <c r="BN64" s="182"/>
      <c r="BO64" s="182"/>
      <c r="BP64" s="182"/>
      <c r="BQ64" s="185"/>
      <c r="BR64" s="186"/>
      <c r="BS64" s="187"/>
      <c r="BT64" s="187"/>
      <c r="BU64" s="187"/>
      <c r="BV64" s="187"/>
      <c r="BW64" s="187"/>
      <c r="BX64" s="187"/>
      <c r="BY64" s="138"/>
      <c r="BZ64" s="182"/>
      <c r="CA64" s="183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</row>
    <row r="65" spans="1:92" s="181" customFormat="1" ht="10.5" customHeight="1" x14ac:dyDescent="0.25">
      <c r="A65" s="122">
        <v>48</v>
      </c>
      <c r="B65" s="123" t="s">
        <v>380</v>
      </c>
      <c r="C65" s="122" t="s">
        <v>349</v>
      </c>
      <c r="D65" s="124">
        <v>220</v>
      </c>
      <c r="E65" s="125" t="s">
        <v>94</v>
      </c>
      <c r="F65" s="126" t="s">
        <v>94</v>
      </c>
      <c r="G65" s="124">
        <v>23040</v>
      </c>
      <c r="H65" s="124">
        <v>23040</v>
      </c>
      <c r="I65" s="124">
        <v>0</v>
      </c>
      <c r="J65" s="124">
        <v>0</v>
      </c>
      <c r="K65" s="124">
        <v>0</v>
      </c>
      <c r="L65" s="124">
        <v>768</v>
      </c>
      <c r="M65" s="124">
        <v>5550</v>
      </c>
      <c r="N65" s="124">
        <v>0</v>
      </c>
      <c r="O65" s="124">
        <v>0</v>
      </c>
      <c r="P65" s="124">
        <v>0</v>
      </c>
      <c r="Q65" s="124">
        <v>185</v>
      </c>
      <c r="R65" s="124">
        <v>5550</v>
      </c>
      <c r="S65" s="124">
        <v>0</v>
      </c>
      <c r="T65" s="124">
        <v>0</v>
      </c>
      <c r="U65" s="124">
        <v>0</v>
      </c>
      <c r="V65" s="124">
        <v>316.61604257720006</v>
      </c>
      <c r="W65" s="124">
        <v>49.764681589999995</v>
      </c>
      <c r="X65" s="124">
        <v>266.85136098720005</v>
      </c>
      <c r="Y65" s="124">
        <v>0</v>
      </c>
      <c r="Z65" s="124">
        <v>0</v>
      </c>
      <c r="AA65" s="127">
        <v>0.188</v>
      </c>
      <c r="AB65" s="128">
        <v>0</v>
      </c>
      <c r="AC65" s="128">
        <v>0</v>
      </c>
      <c r="AD65" s="128">
        <v>1530000</v>
      </c>
      <c r="AE65" s="125" t="s">
        <v>352</v>
      </c>
      <c r="AF65" s="129" t="s">
        <v>94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8"/>
      <c r="AN65" s="182"/>
      <c r="AO65" s="183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27"/>
      <c r="BK65" s="184"/>
      <c r="BL65" s="184"/>
      <c r="BM65" s="184"/>
      <c r="BN65" s="182"/>
      <c r="BO65" s="182"/>
      <c r="BP65" s="182"/>
      <c r="BQ65" s="185"/>
      <c r="BR65" s="188"/>
      <c r="BS65" s="187"/>
      <c r="BT65" s="187"/>
      <c r="BU65" s="187"/>
      <c r="BV65" s="187"/>
      <c r="BW65" s="187"/>
      <c r="BX65" s="187"/>
      <c r="BY65" s="138"/>
      <c r="BZ65" s="182"/>
      <c r="CA65" s="183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</row>
    <row r="66" spans="1:92" s="181" customFormat="1" ht="21" x14ac:dyDescent="0.25">
      <c r="A66" s="122">
        <v>49</v>
      </c>
      <c r="B66" s="123" t="s">
        <v>99</v>
      </c>
      <c r="C66" s="122" t="s">
        <v>349</v>
      </c>
      <c r="D66" s="124">
        <v>159</v>
      </c>
      <c r="E66" s="125" t="s">
        <v>378</v>
      </c>
      <c r="F66" s="126">
        <v>12.7</v>
      </c>
      <c r="G66" s="124">
        <v>225597.19999999992</v>
      </c>
      <c r="H66" s="124">
        <v>201155.4</v>
      </c>
      <c r="I66" s="124">
        <v>159702.40000000002</v>
      </c>
      <c r="J66" s="124">
        <v>8503.5</v>
      </c>
      <c r="K66" s="124">
        <v>0</v>
      </c>
      <c r="L66" s="124">
        <v>869</v>
      </c>
      <c r="M66" s="124">
        <v>3030</v>
      </c>
      <c r="N66" s="124">
        <v>0</v>
      </c>
      <c r="O66" s="124">
        <v>0</v>
      </c>
      <c r="P66" s="124">
        <v>0</v>
      </c>
      <c r="Q66" s="124">
        <v>101</v>
      </c>
      <c r="R66" s="124">
        <v>3030</v>
      </c>
      <c r="S66" s="124">
        <v>0</v>
      </c>
      <c r="T66" s="124">
        <v>0</v>
      </c>
      <c r="U66" s="124">
        <v>0</v>
      </c>
      <c r="V66" s="124">
        <v>192.14292916333332</v>
      </c>
      <c r="W66" s="124">
        <v>111.10894583000001</v>
      </c>
      <c r="X66" s="124">
        <v>81.03398333333331</v>
      </c>
      <c r="Y66" s="124">
        <v>0</v>
      </c>
      <c r="Z66" s="124">
        <v>0</v>
      </c>
      <c r="AA66" s="127">
        <v>0.188</v>
      </c>
      <c r="AB66" s="128">
        <v>0</v>
      </c>
      <c r="AC66" s="128">
        <v>0</v>
      </c>
      <c r="AD66" s="128">
        <v>910000</v>
      </c>
      <c r="AE66" s="125" t="s">
        <v>352</v>
      </c>
      <c r="AF66" s="129" t="s">
        <v>379</v>
      </c>
      <c r="AG66" s="130">
        <v>0</v>
      </c>
      <c r="AH66" s="130">
        <v>0</v>
      </c>
      <c r="AI66" s="130">
        <v>0</v>
      </c>
      <c r="AJ66" s="130">
        <v>0</v>
      </c>
      <c r="AK66" s="130">
        <v>0</v>
      </c>
      <c r="AL66" s="130">
        <v>0</v>
      </c>
      <c r="AM66" s="138"/>
      <c r="AN66" s="182"/>
      <c r="AO66" s="183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27"/>
      <c r="BK66" s="184"/>
      <c r="BL66" s="184"/>
      <c r="BM66" s="184"/>
      <c r="BN66" s="182"/>
      <c r="BO66" s="182"/>
      <c r="BP66" s="182"/>
      <c r="BQ66" s="185"/>
      <c r="BR66" s="188"/>
      <c r="BS66" s="187"/>
      <c r="BT66" s="187"/>
      <c r="BU66" s="187"/>
      <c r="BV66" s="187"/>
      <c r="BW66" s="187"/>
      <c r="BX66" s="187"/>
      <c r="BY66" s="138"/>
      <c r="BZ66" s="182"/>
      <c r="CA66" s="183"/>
      <c r="CB66" s="138"/>
      <c r="CC66" s="138"/>
      <c r="CD66" s="138"/>
      <c r="CE66" s="138"/>
      <c r="CF66" s="138"/>
      <c r="CG66" s="138"/>
      <c r="CH66" s="138"/>
      <c r="CI66" s="138"/>
      <c r="CJ66" s="138"/>
      <c r="CK66" s="138"/>
      <c r="CL66" s="138"/>
      <c r="CM66" s="138"/>
      <c r="CN66" s="138"/>
    </row>
    <row r="67" spans="1:92" s="181" customFormat="1" ht="10.5" customHeight="1" x14ac:dyDescent="0.25">
      <c r="A67" s="122">
        <v>50</v>
      </c>
      <c r="B67" s="123" t="s">
        <v>358</v>
      </c>
      <c r="C67" s="122" t="s">
        <v>349</v>
      </c>
      <c r="D67" s="124">
        <v>62</v>
      </c>
      <c r="E67" s="125" t="s">
        <v>342</v>
      </c>
      <c r="F67" s="126">
        <v>0.24959999999999999</v>
      </c>
      <c r="G67" s="124">
        <v>6821.7</v>
      </c>
      <c r="H67" s="124">
        <v>6821.7</v>
      </c>
      <c r="I67" s="124">
        <v>5755.3</v>
      </c>
      <c r="J67" s="124">
        <v>504.5</v>
      </c>
      <c r="K67" s="124">
        <v>0</v>
      </c>
      <c r="L67" s="124">
        <v>41</v>
      </c>
      <c r="M67" s="124">
        <v>131.69999999999999</v>
      </c>
      <c r="N67" s="124">
        <v>71.7</v>
      </c>
      <c r="O67" s="124">
        <v>0</v>
      </c>
      <c r="P67" s="124">
        <v>0</v>
      </c>
      <c r="Q67" s="124">
        <v>2</v>
      </c>
      <c r="R67" s="124">
        <v>60</v>
      </c>
      <c r="S67" s="124">
        <v>0</v>
      </c>
      <c r="T67" s="124">
        <v>0</v>
      </c>
      <c r="U67" s="124">
        <v>0</v>
      </c>
      <c r="V67" s="124">
        <v>70.147387000000009</v>
      </c>
      <c r="W67" s="124">
        <v>42.865757000000002</v>
      </c>
      <c r="X67" s="124">
        <v>27.281630000000007</v>
      </c>
      <c r="Y67" s="124">
        <v>0</v>
      </c>
      <c r="Z67" s="124">
        <v>0</v>
      </c>
      <c r="AA67" s="127">
        <v>0.188</v>
      </c>
      <c r="AB67" s="128">
        <v>308000</v>
      </c>
      <c r="AC67" s="128">
        <v>0</v>
      </c>
      <c r="AD67" s="128">
        <v>1850000</v>
      </c>
      <c r="AE67" s="125" t="s">
        <v>352</v>
      </c>
      <c r="AF67" s="122">
        <v>2023</v>
      </c>
      <c r="AG67" s="130">
        <v>0</v>
      </c>
      <c r="AH67" s="130">
        <v>0</v>
      </c>
      <c r="AI67" s="130">
        <v>0</v>
      </c>
      <c r="AJ67" s="130">
        <v>0</v>
      </c>
      <c r="AK67" s="130">
        <v>0</v>
      </c>
      <c r="AL67" s="130">
        <v>0</v>
      </c>
      <c r="AM67" s="138"/>
      <c r="AN67" s="182"/>
      <c r="AO67" s="183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27"/>
      <c r="BK67" s="184"/>
      <c r="BL67" s="184"/>
      <c r="BM67" s="184"/>
      <c r="BN67" s="182"/>
      <c r="BO67" s="182"/>
      <c r="BP67" s="182"/>
      <c r="BQ67" s="185"/>
      <c r="BR67" s="186"/>
      <c r="BS67" s="187"/>
      <c r="BT67" s="187"/>
      <c r="BU67" s="187"/>
      <c r="BV67" s="187"/>
      <c r="BW67" s="187"/>
      <c r="BX67" s="187"/>
      <c r="BY67" s="138"/>
      <c r="BZ67" s="182"/>
      <c r="CA67" s="183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</row>
    <row r="68" spans="1:92" s="181" customFormat="1" ht="10.5" customHeight="1" x14ac:dyDescent="0.25">
      <c r="A68" s="133"/>
      <c r="B68" s="134" t="s">
        <v>476</v>
      </c>
      <c r="C68" s="133"/>
      <c r="D68" s="135">
        <v>28556</v>
      </c>
      <c r="E68" s="133"/>
      <c r="F68" s="133"/>
      <c r="G68" s="135">
        <v>2460314.7338144328</v>
      </c>
      <c r="H68" s="135">
        <v>2271060.9660763047</v>
      </c>
      <c r="I68" s="135">
        <v>1796761.7333333332</v>
      </c>
      <c r="J68" s="135">
        <v>135532.23000000001</v>
      </c>
      <c r="K68" s="135">
        <v>0</v>
      </c>
      <c r="L68" s="135">
        <v>13396</v>
      </c>
      <c r="M68" s="135">
        <v>181793.49999999997</v>
      </c>
      <c r="N68" s="135">
        <v>64485.7</v>
      </c>
      <c r="O68" s="135">
        <v>3455.2000000000003</v>
      </c>
      <c r="P68" s="135">
        <v>0</v>
      </c>
      <c r="Q68" s="135">
        <v>4197</v>
      </c>
      <c r="R68" s="135">
        <v>113852.6</v>
      </c>
      <c r="S68" s="135">
        <v>66144.347596961758</v>
      </c>
      <c r="T68" s="135">
        <v>65065.022161191941</v>
      </c>
      <c r="U68" s="135">
        <v>1079.3254357698131</v>
      </c>
      <c r="V68" s="135">
        <v>36227.338709050862</v>
      </c>
      <c r="W68" s="135">
        <v>11654.40055948</v>
      </c>
      <c r="X68" s="135">
        <v>23652.445787490858</v>
      </c>
      <c r="Y68" s="135">
        <v>920.49236208000002</v>
      </c>
      <c r="Z68" s="135">
        <v>657.10914788000002</v>
      </c>
      <c r="AA68" s="136"/>
      <c r="AB68" s="135"/>
      <c r="AC68" s="135"/>
      <c r="AD68" s="135"/>
      <c r="AE68" s="136"/>
      <c r="AF68" s="136"/>
      <c r="AG68" s="137">
        <v>10769.331923830636</v>
      </c>
      <c r="AH68" s="137">
        <v>10769.065996670637</v>
      </c>
      <c r="AI68" s="137">
        <v>0.26592716000004657</v>
      </c>
      <c r="AJ68" s="137">
        <v>0</v>
      </c>
      <c r="AK68" s="137">
        <v>0.24398013943580013</v>
      </c>
      <c r="AL68" s="137">
        <v>0</v>
      </c>
      <c r="AM68" s="189"/>
      <c r="AN68" s="190"/>
      <c r="AO68" s="190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91"/>
      <c r="BK68" s="189"/>
      <c r="BL68" s="189"/>
      <c r="BM68" s="189"/>
      <c r="BN68" s="191"/>
      <c r="BO68" s="191"/>
      <c r="BP68" s="191"/>
      <c r="BQ68" s="191"/>
      <c r="BR68" s="191"/>
      <c r="BS68" s="192"/>
      <c r="BT68" s="192"/>
      <c r="BU68" s="192"/>
      <c r="BV68" s="192"/>
      <c r="BW68" s="192"/>
      <c r="BX68" s="192"/>
      <c r="BY68" s="189"/>
      <c r="BZ68" s="190"/>
      <c r="CA68" s="190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</row>
    <row r="69" spans="1:92" s="181" customFormat="1" ht="10.5" customHeight="1" x14ac:dyDescent="0.25">
      <c r="A69" s="172"/>
      <c r="B69" s="119" t="s">
        <v>477</v>
      </c>
      <c r="C69" s="172"/>
      <c r="D69" s="171"/>
      <c r="E69" s="172"/>
      <c r="F69" s="172"/>
      <c r="G69" s="172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71"/>
      <c r="T69" s="171"/>
      <c r="U69" s="171"/>
      <c r="V69" s="171"/>
      <c r="W69" s="171"/>
      <c r="X69" s="171"/>
      <c r="Y69" s="171"/>
      <c r="Z69" s="171"/>
      <c r="AA69" s="171"/>
      <c r="AB69" s="120"/>
      <c r="AC69" s="120"/>
      <c r="AD69" s="120"/>
      <c r="AE69" s="171"/>
      <c r="AF69" s="171"/>
      <c r="AG69" s="171"/>
      <c r="AH69" s="171"/>
      <c r="AI69" s="121"/>
      <c r="AJ69" s="121"/>
      <c r="AK69" s="121"/>
      <c r="AL69" s="121"/>
      <c r="AM69" s="175"/>
      <c r="AN69" s="176"/>
      <c r="AO69" s="176"/>
      <c r="AP69" s="176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5"/>
      <c r="BC69" s="175"/>
      <c r="BD69" s="175"/>
      <c r="BE69" s="175"/>
      <c r="BF69" s="175"/>
      <c r="BG69" s="175"/>
      <c r="BH69" s="175"/>
      <c r="BI69" s="175"/>
      <c r="BJ69" s="175"/>
      <c r="BK69" s="178"/>
      <c r="BL69" s="178"/>
      <c r="BM69" s="178"/>
      <c r="BN69" s="175"/>
      <c r="BO69" s="179"/>
      <c r="BP69" s="179"/>
      <c r="BQ69" s="179"/>
      <c r="BR69" s="175"/>
      <c r="BS69" s="175"/>
      <c r="BT69" s="175"/>
      <c r="BU69" s="180"/>
      <c r="BV69" s="180"/>
      <c r="BW69" s="180"/>
      <c r="BX69" s="180"/>
      <c r="BY69" s="175"/>
      <c r="BZ69" s="176"/>
      <c r="CA69" s="176"/>
      <c r="CB69" s="176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5"/>
    </row>
    <row r="70" spans="1:92" s="181" customFormat="1" ht="10.5" customHeight="1" x14ac:dyDescent="0.25">
      <c r="A70" s="122">
        <v>51</v>
      </c>
      <c r="B70" s="123" t="s">
        <v>369</v>
      </c>
      <c r="C70" s="122" t="s">
        <v>366</v>
      </c>
      <c r="D70" s="124">
        <v>592</v>
      </c>
      <c r="E70" s="125" t="s">
        <v>342</v>
      </c>
      <c r="F70" s="126">
        <v>3.9613</v>
      </c>
      <c r="G70" s="124">
        <v>21983</v>
      </c>
      <c r="H70" s="124">
        <v>21983</v>
      </c>
      <c r="I70" s="124">
        <v>15679.150000000001</v>
      </c>
      <c r="J70" s="124">
        <v>207.65</v>
      </c>
      <c r="K70" s="124">
        <v>0</v>
      </c>
      <c r="L70" s="124">
        <v>449</v>
      </c>
      <c r="M70" s="124">
        <v>468.5</v>
      </c>
      <c r="N70" s="124">
        <v>271.8</v>
      </c>
      <c r="O70" s="124">
        <v>196.7</v>
      </c>
      <c r="P70" s="124">
        <v>0</v>
      </c>
      <c r="Q70" s="124">
        <v>0</v>
      </c>
      <c r="R70" s="124">
        <v>0</v>
      </c>
      <c r="S70" s="124">
        <v>1678.4914105974156</v>
      </c>
      <c r="T70" s="124">
        <v>1662.545437245007</v>
      </c>
      <c r="U70" s="124">
        <v>15.945973352408618</v>
      </c>
      <c r="V70" s="124">
        <v>1502.5837556666665</v>
      </c>
      <c r="W70" s="124">
        <v>104.36653</v>
      </c>
      <c r="X70" s="124">
        <v>97.40036166666664</v>
      </c>
      <c r="Y70" s="124">
        <v>1300.8168639999999</v>
      </c>
      <c r="Z70" s="124">
        <v>837.79762995999999</v>
      </c>
      <c r="AA70" s="127">
        <v>0.188</v>
      </c>
      <c r="AB70" s="128">
        <v>200000</v>
      </c>
      <c r="AC70" s="128">
        <v>230000</v>
      </c>
      <c r="AD70" s="128">
        <v>0</v>
      </c>
      <c r="AE70" s="125" t="s">
        <v>352</v>
      </c>
      <c r="AF70" s="129" t="s">
        <v>353</v>
      </c>
      <c r="AG70" s="130">
        <v>62.306883960210307</v>
      </c>
      <c r="AH70" s="130">
        <v>62.306883960210307</v>
      </c>
      <c r="AI70" s="130">
        <v>0</v>
      </c>
      <c r="AJ70" s="130">
        <v>0</v>
      </c>
      <c r="AK70" s="130">
        <v>0</v>
      </c>
      <c r="AL70" s="130">
        <v>0</v>
      </c>
      <c r="AM70" s="138"/>
      <c r="AN70" s="182"/>
      <c r="AO70" s="183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27"/>
      <c r="BK70" s="184"/>
      <c r="BL70" s="184"/>
      <c r="BM70" s="184"/>
      <c r="BN70" s="182"/>
      <c r="BO70" s="182"/>
      <c r="BP70" s="182"/>
      <c r="BQ70" s="185"/>
      <c r="BR70" s="188"/>
      <c r="BS70" s="187"/>
      <c r="BT70" s="187"/>
      <c r="BU70" s="187"/>
      <c r="BV70" s="187"/>
      <c r="BW70" s="187"/>
      <c r="BX70" s="187"/>
      <c r="BY70" s="138"/>
      <c r="BZ70" s="182"/>
      <c r="CA70" s="183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</row>
    <row r="71" spans="1:92" s="181" customFormat="1" ht="10.5" customHeight="1" x14ac:dyDescent="0.25">
      <c r="A71" s="122">
        <v>52</v>
      </c>
      <c r="B71" s="123" t="s">
        <v>417</v>
      </c>
      <c r="C71" s="122" t="s">
        <v>299</v>
      </c>
      <c r="D71" s="124">
        <v>101</v>
      </c>
      <c r="E71" s="125" t="s">
        <v>342</v>
      </c>
      <c r="F71" s="126" t="s">
        <v>94</v>
      </c>
      <c r="G71" s="124">
        <v>3559.7000000000003</v>
      </c>
      <c r="H71" s="124">
        <v>3559.7000000000003</v>
      </c>
      <c r="I71" s="124">
        <v>3373.3</v>
      </c>
      <c r="J71" s="124">
        <v>195.8</v>
      </c>
      <c r="K71" s="124">
        <v>0</v>
      </c>
      <c r="L71" s="124">
        <v>0</v>
      </c>
      <c r="M71" s="124">
        <v>462.2</v>
      </c>
      <c r="N71" s="124">
        <v>266.39999999999998</v>
      </c>
      <c r="O71" s="124">
        <v>195.8</v>
      </c>
      <c r="P71" s="124">
        <v>0</v>
      </c>
      <c r="Q71" s="124">
        <v>0</v>
      </c>
      <c r="R71" s="124">
        <v>0</v>
      </c>
      <c r="S71" s="124">
        <v>231.93137706043436</v>
      </c>
      <c r="T71" s="124">
        <v>231.93137706043436</v>
      </c>
      <c r="U71" s="124">
        <v>0</v>
      </c>
      <c r="V71" s="124">
        <v>113.02817133333333</v>
      </c>
      <c r="W71" s="124">
        <v>50.524529000000001</v>
      </c>
      <c r="X71" s="124">
        <v>62.503642333333332</v>
      </c>
      <c r="Y71" s="124">
        <v>0</v>
      </c>
      <c r="Z71" s="124">
        <v>0</v>
      </c>
      <c r="AA71" s="127">
        <v>0.188</v>
      </c>
      <c r="AB71" s="128">
        <v>155000</v>
      </c>
      <c r="AC71" s="128">
        <v>109000</v>
      </c>
      <c r="AD71" s="128">
        <v>0</v>
      </c>
      <c r="AE71" s="125" t="s">
        <v>352</v>
      </c>
      <c r="AF71" s="129" t="s">
        <v>94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8"/>
      <c r="AN71" s="182"/>
      <c r="AO71" s="183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27"/>
      <c r="BK71" s="184"/>
      <c r="BL71" s="184"/>
      <c r="BM71" s="184"/>
      <c r="BN71" s="182"/>
      <c r="BO71" s="182"/>
      <c r="BP71" s="182"/>
      <c r="BQ71" s="185"/>
      <c r="BR71" s="188"/>
      <c r="BS71" s="187"/>
      <c r="BT71" s="187"/>
      <c r="BU71" s="187"/>
      <c r="BV71" s="187"/>
      <c r="BW71" s="187"/>
      <c r="BX71" s="187"/>
      <c r="BY71" s="138"/>
      <c r="BZ71" s="182"/>
      <c r="CA71" s="183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</row>
    <row r="72" spans="1:92" s="181" customFormat="1" ht="10.5" customHeight="1" x14ac:dyDescent="0.25">
      <c r="A72" s="133"/>
      <c r="B72" s="134" t="s">
        <v>478</v>
      </c>
      <c r="C72" s="133"/>
      <c r="D72" s="135">
        <v>693</v>
      </c>
      <c r="E72" s="133"/>
      <c r="F72" s="133"/>
      <c r="G72" s="135">
        <v>25542.7</v>
      </c>
      <c r="H72" s="135">
        <v>25542.7</v>
      </c>
      <c r="I72" s="135">
        <v>19052.45</v>
      </c>
      <c r="J72" s="135">
        <v>403.45000000000005</v>
      </c>
      <c r="K72" s="135">
        <v>0</v>
      </c>
      <c r="L72" s="135">
        <v>449</v>
      </c>
      <c r="M72" s="135">
        <v>930.7</v>
      </c>
      <c r="N72" s="135">
        <v>538.20000000000005</v>
      </c>
      <c r="O72" s="135">
        <v>392.5</v>
      </c>
      <c r="P72" s="135">
        <v>0</v>
      </c>
      <c r="Q72" s="135">
        <v>0</v>
      </c>
      <c r="R72" s="135">
        <v>0</v>
      </c>
      <c r="S72" s="135">
        <v>1910.42278765785</v>
      </c>
      <c r="T72" s="135">
        <v>1894.4768143054414</v>
      </c>
      <c r="U72" s="135">
        <v>15.945973352408618</v>
      </c>
      <c r="V72" s="135">
        <v>1615.6119269999999</v>
      </c>
      <c r="W72" s="135">
        <v>154.89105899999998</v>
      </c>
      <c r="X72" s="135">
        <v>159.90400399999999</v>
      </c>
      <c r="Y72" s="135">
        <v>1300.8168639999999</v>
      </c>
      <c r="Z72" s="135">
        <v>837.79762995999999</v>
      </c>
      <c r="AA72" s="136"/>
      <c r="AB72" s="135"/>
      <c r="AC72" s="135"/>
      <c r="AD72" s="135"/>
      <c r="AE72" s="136"/>
      <c r="AF72" s="136"/>
      <c r="AG72" s="137">
        <v>62.306883960210307</v>
      </c>
      <c r="AH72" s="137">
        <v>62.306883960210307</v>
      </c>
      <c r="AI72" s="137">
        <v>0</v>
      </c>
      <c r="AJ72" s="137">
        <v>0</v>
      </c>
      <c r="AK72" s="137">
        <v>0</v>
      </c>
      <c r="AL72" s="137">
        <v>0</v>
      </c>
      <c r="AM72" s="189"/>
      <c r="AN72" s="190"/>
      <c r="AO72" s="190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91"/>
      <c r="BK72" s="189"/>
      <c r="BL72" s="189"/>
      <c r="BM72" s="189"/>
      <c r="BN72" s="191"/>
      <c r="BO72" s="191"/>
      <c r="BP72" s="191"/>
      <c r="BQ72" s="191"/>
      <c r="BR72" s="191"/>
      <c r="BS72" s="192"/>
      <c r="BT72" s="192"/>
      <c r="BU72" s="192"/>
      <c r="BV72" s="192"/>
      <c r="BW72" s="192"/>
      <c r="BX72" s="192"/>
      <c r="BY72" s="189"/>
      <c r="BZ72" s="190"/>
      <c r="CA72" s="190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</row>
    <row r="73" spans="1:92" s="181" customFormat="1" ht="10.5" customHeight="1" x14ac:dyDescent="0.25">
      <c r="A73" s="133"/>
      <c r="B73" s="134" t="s">
        <v>381</v>
      </c>
      <c r="C73" s="133"/>
      <c r="D73" s="135">
        <v>281060</v>
      </c>
      <c r="E73" s="133"/>
      <c r="F73" s="133"/>
      <c r="G73" s="135">
        <v>10389135.220814433</v>
      </c>
      <c r="H73" s="135">
        <v>9545266.6537728067</v>
      </c>
      <c r="I73" s="135">
        <v>7836692.0390298357</v>
      </c>
      <c r="J73" s="135">
        <v>710263.86199999996</v>
      </c>
      <c r="K73" s="135">
        <v>1500</v>
      </c>
      <c r="L73" s="135">
        <v>57049</v>
      </c>
      <c r="M73" s="135">
        <v>5485015.1176965013</v>
      </c>
      <c r="N73" s="135">
        <v>4310506.6156965028</v>
      </c>
      <c r="O73" s="135">
        <v>467573.38200000004</v>
      </c>
      <c r="P73" s="135">
        <v>0</v>
      </c>
      <c r="Q73" s="135">
        <v>37239</v>
      </c>
      <c r="R73" s="135">
        <v>706935.12</v>
      </c>
      <c r="S73" s="135">
        <v>1046161.8221344657</v>
      </c>
      <c r="T73" s="135">
        <v>243766.58600162764</v>
      </c>
      <c r="U73" s="135">
        <v>802395.2361328383</v>
      </c>
      <c r="V73" s="135">
        <v>1603046.2159912335</v>
      </c>
      <c r="W73" s="135">
        <v>83971.835706960002</v>
      </c>
      <c r="X73" s="135">
        <v>1407008.0719091634</v>
      </c>
      <c r="Y73" s="135">
        <v>112066.30837510999</v>
      </c>
      <c r="Z73" s="135">
        <v>115584.69229683554</v>
      </c>
      <c r="AA73" s="136"/>
      <c r="AB73" s="135"/>
      <c r="AC73" s="135"/>
      <c r="AD73" s="135"/>
      <c r="AE73" s="136"/>
      <c r="AF73" s="136"/>
      <c r="AG73" s="137">
        <v>169070.16514940289</v>
      </c>
      <c r="AH73" s="137">
        <v>106738.17230300883</v>
      </c>
      <c r="AI73" s="137">
        <v>62331.992846394016</v>
      </c>
      <c r="AJ73" s="137">
        <v>50730.820182213523</v>
      </c>
      <c r="AK73" s="137">
        <v>34444.057089940565</v>
      </c>
      <c r="AL73" s="137">
        <v>26647.813605884294</v>
      </c>
      <c r="AM73" s="189"/>
      <c r="AN73" s="190"/>
      <c r="AO73" s="190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91"/>
      <c r="BK73" s="189"/>
      <c r="BL73" s="189"/>
      <c r="BM73" s="189"/>
      <c r="BN73" s="191"/>
      <c r="BO73" s="191"/>
      <c r="BP73" s="191"/>
      <c r="BQ73" s="191"/>
      <c r="BR73" s="191"/>
      <c r="BS73" s="192"/>
      <c r="BT73" s="192"/>
      <c r="BU73" s="192"/>
      <c r="BV73" s="192"/>
      <c r="BW73" s="192"/>
      <c r="BX73" s="192"/>
      <c r="BY73" s="189"/>
      <c r="BZ73" s="190"/>
      <c r="CA73" s="190"/>
      <c r="CB73" s="189"/>
      <c r="CC73" s="189"/>
      <c r="CD73" s="189"/>
      <c r="CE73" s="189"/>
      <c r="CF73" s="189"/>
      <c r="CG73" s="189"/>
      <c r="CH73" s="189"/>
      <c r="CI73" s="189"/>
      <c r="CJ73" s="189"/>
      <c r="CK73" s="189"/>
      <c r="CL73" s="189"/>
      <c r="CM73" s="189"/>
      <c r="CN73" s="189"/>
    </row>
    <row r="74" spans="1:92" s="115" customFormat="1" ht="10.5" customHeight="1" x14ac:dyDescent="0.25"/>
    <row r="75" spans="1:92" s="115" customFormat="1" ht="10.5" customHeight="1" x14ac:dyDescent="0.25"/>
    <row r="76" spans="1:92" s="115" customFormat="1" ht="10.5" customHeight="1" x14ac:dyDescent="0.25"/>
    <row r="77" spans="1:92" s="115" customFormat="1" ht="10.5" customHeight="1" x14ac:dyDescent="0.25"/>
    <row r="78" spans="1:92" s="181" customFormat="1" ht="63" customHeight="1" x14ac:dyDescent="0.25">
      <c r="A78" s="143" t="s">
        <v>313</v>
      </c>
      <c r="B78" s="143" t="s">
        <v>314</v>
      </c>
      <c r="C78" s="143" t="s">
        <v>315</v>
      </c>
      <c r="D78" s="151" t="s">
        <v>316</v>
      </c>
      <c r="E78" s="143" t="s">
        <v>317</v>
      </c>
      <c r="F78" s="143" t="s">
        <v>318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41"/>
      <c r="V78" s="115"/>
      <c r="W78" s="115"/>
      <c r="X78" s="115"/>
      <c r="Y78" s="115"/>
      <c r="Z78" s="115"/>
      <c r="AA78" s="115"/>
      <c r="AB78" s="140"/>
      <c r="AC78" s="140"/>
      <c r="AD78" s="140"/>
      <c r="AE78" s="115"/>
      <c r="AF78" s="200"/>
      <c r="AG78" s="201"/>
      <c r="AH78" s="201"/>
      <c r="AI78" s="201"/>
      <c r="AJ78" s="201"/>
      <c r="AK78" s="201"/>
      <c r="AL78" s="201"/>
      <c r="AM78" s="196"/>
      <c r="AN78" s="196"/>
      <c r="AO78" s="142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95"/>
      <c r="BE78" s="173"/>
      <c r="BF78" s="173"/>
      <c r="BG78" s="173"/>
      <c r="BH78" s="173"/>
      <c r="BI78" s="173"/>
      <c r="BJ78" s="173"/>
      <c r="BK78" s="194"/>
      <c r="BL78" s="194"/>
      <c r="BM78" s="194"/>
      <c r="BN78" s="173"/>
      <c r="BO78" s="173"/>
      <c r="BP78" s="173"/>
      <c r="BQ78" s="173"/>
      <c r="BR78" s="199"/>
      <c r="BS78" s="199"/>
      <c r="BT78" s="199"/>
      <c r="BU78" s="196"/>
      <c r="BV78" s="202"/>
      <c r="BW78" s="196"/>
      <c r="BX78" s="202"/>
      <c r="BY78" s="203"/>
      <c r="BZ78" s="204"/>
      <c r="CA78" s="204"/>
      <c r="CB78" s="173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</row>
    <row r="79" spans="1:92" s="181" customFormat="1" ht="10.5" customHeight="1" x14ac:dyDescent="0.25">
      <c r="A79" s="143"/>
      <c r="B79" s="152" t="s">
        <v>419</v>
      </c>
      <c r="C79" s="143"/>
      <c r="D79" s="151"/>
      <c r="E79" s="143"/>
      <c r="F79" s="143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41"/>
      <c r="V79" s="115"/>
      <c r="W79" s="115"/>
      <c r="X79" s="115"/>
      <c r="Y79" s="115"/>
      <c r="Z79" s="115"/>
      <c r="AA79" s="115"/>
      <c r="AB79" s="140"/>
      <c r="AC79" s="140"/>
      <c r="AD79" s="140"/>
      <c r="AE79" s="115"/>
      <c r="AF79" s="205"/>
      <c r="AG79" s="201"/>
      <c r="AH79" s="201"/>
      <c r="AI79" s="201"/>
      <c r="AJ79" s="201"/>
      <c r="AK79" s="201"/>
      <c r="AL79" s="201"/>
      <c r="AM79" s="196"/>
      <c r="AN79" s="196"/>
      <c r="AO79" s="142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95"/>
      <c r="BE79" s="173"/>
      <c r="BF79" s="173"/>
      <c r="BG79" s="173"/>
      <c r="BH79" s="173"/>
      <c r="BI79" s="173"/>
      <c r="BJ79" s="173"/>
      <c r="BK79" s="194"/>
      <c r="BL79" s="194"/>
      <c r="BM79" s="194"/>
      <c r="BN79" s="173"/>
      <c r="BO79" s="173"/>
      <c r="BP79" s="173"/>
      <c r="BQ79" s="173"/>
      <c r="BR79" s="199"/>
      <c r="BS79" s="199"/>
      <c r="BT79" s="199"/>
      <c r="BU79" s="196"/>
      <c r="BV79" s="202"/>
      <c r="BW79" s="196"/>
      <c r="BX79" s="202"/>
      <c r="BY79" s="203"/>
      <c r="BZ79" s="204"/>
      <c r="CA79" s="204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</row>
    <row r="80" spans="1:92" ht="10.5" customHeight="1" x14ac:dyDescent="0.25">
      <c r="A80" s="153">
        <v>53</v>
      </c>
      <c r="B80" s="123" t="s">
        <v>106</v>
      </c>
      <c r="C80" s="122" t="s">
        <v>92</v>
      </c>
      <c r="D80" s="138">
        <v>673</v>
      </c>
      <c r="E80" s="122" t="s">
        <v>339</v>
      </c>
      <c r="F80" s="156">
        <v>0.50249999999999995</v>
      </c>
      <c r="G80" s="115"/>
      <c r="H80" s="115"/>
      <c r="I80" s="154"/>
      <c r="J80" s="15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41"/>
      <c r="V80" s="115"/>
      <c r="W80" s="115"/>
      <c r="X80" s="115"/>
      <c r="Y80" s="115"/>
      <c r="Z80" s="115"/>
      <c r="AA80" s="115"/>
      <c r="AB80" s="140"/>
      <c r="AC80" s="140"/>
      <c r="AD80" s="140"/>
      <c r="AE80" s="115"/>
      <c r="AF80" s="205"/>
      <c r="AG80" s="201"/>
      <c r="AH80" s="201"/>
      <c r="AI80" s="201"/>
      <c r="AJ80" s="201"/>
      <c r="AK80" s="201"/>
      <c r="AL80" s="201"/>
      <c r="AM80" s="196"/>
      <c r="AN80" s="196"/>
      <c r="AO80" s="142"/>
      <c r="AP80" s="173"/>
      <c r="AQ80" s="173"/>
      <c r="AR80" s="154"/>
      <c r="AS80" s="15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41"/>
      <c r="BE80" s="115"/>
      <c r="BF80" s="115"/>
      <c r="BG80" s="115"/>
      <c r="BH80" s="115"/>
      <c r="BI80" s="115"/>
      <c r="BJ80" s="115"/>
      <c r="BK80" s="140"/>
      <c r="BL80" s="140"/>
      <c r="BM80" s="140"/>
      <c r="BN80" s="115"/>
      <c r="BO80" s="115"/>
      <c r="BP80" s="115"/>
      <c r="BQ80" s="115"/>
      <c r="BR80" s="147"/>
      <c r="BS80" s="147"/>
      <c r="BT80" s="147"/>
      <c r="BU80" s="142"/>
      <c r="BV80" s="114"/>
      <c r="BW80" s="142"/>
      <c r="BX80" s="114"/>
      <c r="BY80" s="138"/>
      <c r="BZ80" s="122"/>
      <c r="CA80" s="156"/>
      <c r="CB80" s="115"/>
      <c r="CC80" s="115"/>
      <c r="CD80" s="154"/>
      <c r="CE80" s="155"/>
      <c r="CF80" s="115"/>
      <c r="CG80" s="115"/>
      <c r="CH80" s="115"/>
      <c r="CI80" s="115"/>
      <c r="CJ80" s="115"/>
      <c r="CK80" s="115"/>
      <c r="CL80" s="115"/>
      <c r="CM80" s="115"/>
      <c r="CN80" s="115"/>
    </row>
    <row r="81" spans="1:92" ht="10.5" customHeight="1" x14ac:dyDescent="0.25">
      <c r="A81" s="153">
        <v>54</v>
      </c>
      <c r="B81" s="123" t="s">
        <v>420</v>
      </c>
      <c r="C81" s="122" t="s">
        <v>92</v>
      </c>
      <c r="D81" s="138">
        <v>1025</v>
      </c>
      <c r="E81" s="122" t="s">
        <v>342</v>
      </c>
      <c r="F81" s="156">
        <v>0.8236</v>
      </c>
      <c r="G81" s="115"/>
      <c r="H81" s="115"/>
      <c r="I81" s="141"/>
      <c r="J81" s="157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41"/>
      <c r="V81" s="115"/>
      <c r="W81" s="115"/>
      <c r="X81" s="115"/>
      <c r="Y81" s="115"/>
      <c r="Z81" s="115"/>
      <c r="AA81" s="115"/>
      <c r="AB81" s="140"/>
      <c r="AC81" s="140"/>
      <c r="AD81" s="140"/>
      <c r="AE81" s="115"/>
      <c r="AF81" s="205"/>
      <c r="AG81" s="201"/>
      <c r="AH81" s="201"/>
      <c r="AI81" s="201"/>
      <c r="AJ81" s="201"/>
      <c r="AK81" s="201"/>
      <c r="AL81" s="201"/>
      <c r="AM81" s="196"/>
      <c r="AN81" s="196"/>
      <c r="AO81" s="142"/>
      <c r="AP81" s="173"/>
      <c r="AQ81" s="173"/>
      <c r="AR81" s="141"/>
      <c r="AS81" s="157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41"/>
      <c r="BE81" s="115"/>
      <c r="BF81" s="115"/>
      <c r="BG81" s="115"/>
      <c r="BH81" s="115"/>
      <c r="BI81" s="115"/>
      <c r="BJ81" s="115"/>
      <c r="BK81" s="140"/>
      <c r="BL81" s="140"/>
      <c r="BM81" s="140"/>
      <c r="BN81" s="115"/>
      <c r="BO81" s="115"/>
      <c r="BP81" s="115"/>
      <c r="BQ81" s="115"/>
      <c r="BR81" s="147"/>
      <c r="BS81" s="147"/>
      <c r="BT81" s="147"/>
      <c r="BU81" s="142"/>
      <c r="BV81" s="114"/>
      <c r="BW81" s="142"/>
      <c r="BX81" s="114"/>
      <c r="BY81" s="138"/>
      <c r="BZ81" s="122"/>
      <c r="CA81" s="156"/>
      <c r="CB81" s="115"/>
      <c r="CC81" s="115"/>
      <c r="CD81" s="141"/>
      <c r="CE81" s="157"/>
      <c r="CF81" s="115"/>
      <c r="CG81" s="115"/>
      <c r="CH81" s="115"/>
      <c r="CI81" s="115"/>
      <c r="CJ81" s="115"/>
      <c r="CK81" s="115"/>
      <c r="CL81" s="115"/>
      <c r="CM81" s="115"/>
      <c r="CN81" s="115"/>
    </row>
    <row r="82" spans="1:92" ht="10.5" customHeight="1" x14ac:dyDescent="0.25">
      <c r="A82" s="153">
        <v>55</v>
      </c>
      <c r="B82" s="123" t="s">
        <v>479</v>
      </c>
      <c r="C82" s="122" t="s">
        <v>480</v>
      </c>
      <c r="D82" s="138">
        <v>1530</v>
      </c>
      <c r="E82" s="125" t="s">
        <v>342</v>
      </c>
      <c r="F82" s="126">
        <v>254.26439999999999</v>
      </c>
      <c r="G82" s="115"/>
      <c r="H82" s="115"/>
      <c r="I82" s="141"/>
      <c r="J82" s="157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41"/>
      <c r="V82" s="115"/>
      <c r="W82" s="115"/>
      <c r="X82" s="115"/>
      <c r="Y82" s="115"/>
      <c r="Z82" s="115"/>
      <c r="AA82" s="115"/>
      <c r="AB82" s="140"/>
      <c r="AC82" s="140"/>
      <c r="AD82" s="140"/>
      <c r="AE82" s="115"/>
      <c r="AF82" s="205"/>
      <c r="AG82" s="201"/>
      <c r="AH82" s="201"/>
      <c r="AI82" s="201"/>
      <c r="AJ82" s="201"/>
      <c r="AK82" s="201"/>
      <c r="AL82" s="201"/>
      <c r="AM82" s="196"/>
      <c r="AN82" s="196"/>
      <c r="AO82" s="142"/>
      <c r="AP82" s="173"/>
      <c r="AQ82" s="173"/>
      <c r="AR82" s="141"/>
      <c r="AS82" s="157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41"/>
      <c r="BE82" s="115"/>
      <c r="BF82" s="115"/>
      <c r="BG82" s="115"/>
      <c r="BH82" s="115"/>
      <c r="BI82" s="115"/>
      <c r="BJ82" s="115"/>
      <c r="BK82" s="140"/>
      <c r="BL82" s="140"/>
      <c r="BM82" s="140"/>
      <c r="BN82" s="115"/>
      <c r="BO82" s="115"/>
      <c r="BP82" s="115"/>
      <c r="BQ82" s="115"/>
      <c r="BR82" s="147"/>
      <c r="BS82" s="147"/>
      <c r="BT82" s="147"/>
      <c r="BU82" s="142"/>
      <c r="BV82" s="114"/>
      <c r="BW82" s="142"/>
      <c r="BX82" s="114"/>
      <c r="BY82" s="138"/>
      <c r="BZ82" s="125"/>
      <c r="CA82" s="126"/>
      <c r="CB82" s="115"/>
      <c r="CC82" s="115"/>
      <c r="CD82" s="141"/>
      <c r="CE82" s="157"/>
      <c r="CF82" s="115"/>
      <c r="CG82" s="115"/>
      <c r="CH82" s="115"/>
      <c r="CI82" s="115"/>
      <c r="CJ82" s="115"/>
      <c r="CK82" s="115"/>
      <c r="CL82" s="115"/>
      <c r="CM82" s="115"/>
      <c r="CN82" s="115"/>
    </row>
    <row r="83" spans="1:92" ht="10.5" customHeight="1" x14ac:dyDescent="0.25">
      <c r="A83" s="133"/>
      <c r="B83" s="134" t="s">
        <v>421</v>
      </c>
      <c r="C83" s="133"/>
      <c r="D83" s="135">
        <v>3228</v>
      </c>
      <c r="E83" s="133"/>
      <c r="F83" s="133"/>
      <c r="G83" s="115"/>
      <c r="H83" s="115"/>
      <c r="I83" s="141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41"/>
      <c r="V83" s="115"/>
      <c r="W83" s="115"/>
      <c r="X83" s="115"/>
      <c r="Y83" s="115"/>
      <c r="Z83" s="115"/>
      <c r="AA83" s="115"/>
      <c r="AB83" s="140"/>
      <c r="AC83" s="140"/>
      <c r="AD83" s="140"/>
      <c r="AE83" s="115"/>
      <c r="AF83" s="205"/>
      <c r="AG83" s="201"/>
      <c r="AH83" s="201"/>
      <c r="AI83" s="201"/>
      <c r="AJ83" s="201"/>
      <c r="AK83" s="201"/>
      <c r="AL83" s="201"/>
      <c r="AM83" s="196"/>
      <c r="AN83" s="196"/>
      <c r="AO83" s="142"/>
      <c r="AP83" s="173"/>
      <c r="AQ83" s="173"/>
      <c r="AR83" s="141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41"/>
      <c r="BE83" s="115"/>
      <c r="BF83" s="115"/>
      <c r="BG83" s="115"/>
      <c r="BH83" s="115"/>
      <c r="BI83" s="115"/>
      <c r="BJ83" s="115"/>
      <c r="BK83" s="140"/>
      <c r="BL83" s="140"/>
      <c r="BM83" s="140"/>
      <c r="BN83" s="115"/>
      <c r="BO83" s="115"/>
      <c r="BP83" s="115"/>
      <c r="BQ83" s="115"/>
      <c r="BR83" s="147"/>
      <c r="BS83" s="147"/>
      <c r="BT83" s="147"/>
      <c r="BU83" s="142"/>
      <c r="BV83" s="114"/>
      <c r="BW83" s="142"/>
      <c r="BX83" s="114"/>
      <c r="BY83" s="135"/>
      <c r="BZ83" s="133"/>
      <c r="CA83" s="133"/>
      <c r="CB83" s="115"/>
      <c r="CC83" s="115"/>
      <c r="CD83" s="141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</row>
    <row r="84" spans="1:92" x14ac:dyDescent="0.25">
      <c r="A84" s="146"/>
      <c r="B84" s="146"/>
      <c r="C84" s="146"/>
      <c r="D84" s="146"/>
      <c r="E84" s="146"/>
      <c r="F84" s="146"/>
      <c r="G84" s="146"/>
      <c r="H84" s="115"/>
      <c r="I84" s="158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200"/>
      <c r="AG84" s="201"/>
      <c r="AH84" s="201"/>
      <c r="AI84" s="201"/>
      <c r="AJ84" s="201"/>
      <c r="AK84" s="201"/>
      <c r="AL84" s="201"/>
      <c r="AM84" s="196"/>
      <c r="AN84" s="196"/>
      <c r="AO84" s="142"/>
      <c r="AP84" s="206"/>
      <c r="AQ84" s="173"/>
      <c r="AR84" s="158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15"/>
      <c r="CD84" s="158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</row>
    <row r="85" spans="1:92" x14ac:dyDescent="0.25">
      <c r="A85" s="146"/>
      <c r="B85" s="146"/>
      <c r="C85" s="146"/>
      <c r="D85" s="146"/>
      <c r="E85" s="146"/>
      <c r="F85" s="146"/>
      <c r="G85" s="146"/>
      <c r="H85" s="115"/>
      <c r="I85" s="158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91"/>
      <c r="AG85" s="192"/>
      <c r="AH85" s="192"/>
      <c r="AI85" s="192"/>
      <c r="AJ85" s="192"/>
      <c r="AK85" s="192"/>
      <c r="AL85" s="192"/>
      <c r="AM85" s="196"/>
      <c r="AN85" s="196"/>
      <c r="AO85" s="142"/>
      <c r="AP85" s="206"/>
      <c r="AQ85" s="173"/>
      <c r="AR85" s="158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15"/>
      <c r="CD85" s="158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</row>
    <row r="86" spans="1:92" ht="42" customHeight="1" x14ac:dyDescent="0.25">
      <c r="A86" s="145"/>
      <c r="B86" s="145" t="s">
        <v>384</v>
      </c>
      <c r="C86" s="118" t="s">
        <v>316</v>
      </c>
      <c r="D86" s="145" t="s">
        <v>383</v>
      </c>
      <c r="E86" s="146"/>
      <c r="F86" s="146"/>
      <c r="G86" s="146"/>
      <c r="H86" s="115"/>
      <c r="I86" s="158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40"/>
      <c r="AC86" s="140"/>
      <c r="AD86" s="140"/>
      <c r="AE86" s="115"/>
      <c r="AF86" s="197"/>
      <c r="AG86" s="197"/>
      <c r="AH86" s="197"/>
      <c r="AI86" s="198"/>
      <c r="AJ86" s="198"/>
      <c r="AK86" s="198"/>
      <c r="AL86" s="198"/>
      <c r="AM86" s="173"/>
      <c r="AN86" s="173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40"/>
      <c r="BL86" s="140"/>
      <c r="BM86" s="140"/>
      <c r="BN86" s="115"/>
      <c r="BO86" s="115"/>
      <c r="BP86" s="115"/>
      <c r="BQ86" s="115"/>
      <c r="BR86" s="147"/>
      <c r="BS86" s="147"/>
      <c r="BT86" s="147"/>
      <c r="BU86" s="142"/>
      <c r="BV86" s="114"/>
      <c r="BW86" s="142"/>
      <c r="BX86" s="114"/>
      <c r="BY86" s="145"/>
      <c r="BZ86" s="146"/>
      <c r="CA86" s="146"/>
      <c r="CB86" s="146"/>
      <c r="CC86" s="115"/>
      <c r="CD86" s="158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</row>
    <row r="87" spans="1:92" ht="10.5" customHeight="1" x14ac:dyDescent="0.25">
      <c r="A87" s="159"/>
      <c r="B87" s="159" t="s">
        <v>385</v>
      </c>
      <c r="C87" s="160">
        <v>284288</v>
      </c>
      <c r="D87" s="160">
        <v>5485015.1176965013</v>
      </c>
      <c r="E87" s="146"/>
      <c r="F87" s="146"/>
      <c r="G87" s="146"/>
      <c r="H87" s="132"/>
      <c r="I87" s="154"/>
      <c r="J87" s="161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48"/>
      <c r="AC87" s="148"/>
      <c r="AD87" s="148"/>
      <c r="AE87" s="132"/>
      <c r="AF87" s="205"/>
      <c r="AG87" s="201"/>
      <c r="AH87" s="201"/>
      <c r="AI87" s="201"/>
      <c r="AJ87" s="201"/>
      <c r="AK87" s="201"/>
      <c r="AL87" s="201"/>
      <c r="AM87" s="173"/>
      <c r="AN87" s="173"/>
      <c r="AO87" s="115"/>
      <c r="AP87" s="115"/>
      <c r="AQ87" s="115"/>
      <c r="AR87" s="115"/>
      <c r="AS87" s="161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48"/>
      <c r="BL87" s="148"/>
      <c r="BM87" s="148"/>
      <c r="BN87" s="132"/>
      <c r="BO87" s="132"/>
      <c r="BP87" s="132"/>
      <c r="BQ87" s="132"/>
      <c r="BR87" s="149"/>
      <c r="BS87" s="149"/>
      <c r="BT87" s="149"/>
      <c r="BU87" s="150"/>
      <c r="BV87" s="131"/>
      <c r="BW87" s="150"/>
      <c r="BX87" s="131"/>
      <c r="BY87" s="160"/>
      <c r="BZ87" s="146"/>
      <c r="CA87" s="146"/>
      <c r="CB87" s="146"/>
      <c r="CC87" s="132"/>
      <c r="CD87" s="154"/>
      <c r="CE87" s="161"/>
      <c r="CF87" s="132"/>
      <c r="CG87" s="132"/>
      <c r="CH87" s="132"/>
      <c r="CI87" s="132"/>
      <c r="CJ87" s="132"/>
      <c r="CK87" s="132"/>
      <c r="CL87" s="132"/>
      <c r="CM87" s="132"/>
      <c r="CN87" s="132"/>
    </row>
    <row r="88" spans="1:92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205"/>
      <c r="AG88" s="201"/>
      <c r="AH88" s="201"/>
      <c r="AI88" s="201"/>
      <c r="AJ88" s="201"/>
      <c r="AK88" s="201"/>
      <c r="AL88" s="201"/>
      <c r="AM88" s="173"/>
      <c r="AN88" s="173"/>
      <c r="AO88" s="115"/>
      <c r="AP88" s="115"/>
      <c r="AQ88" s="115"/>
      <c r="AR88" s="115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</row>
    <row r="89" spans="1:92" ht="10.5" customHeight="1" x14ac:dyDescent="0.25">
      <c r="A89" s="162"/>
      <c r="B89" s="163" t="s">
        <v>107</v>
      </c>
      <c r="C89" s="162"/>
      <c r="D89" s="164"/>
      <c r="E89" s="146"/>
      <c r="F89" s="146"/>
      <c r="G89" s="146"/>
      <c r="H89" s="146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40"/>
      <c r="AC89" s="140"/>
      <c r="AD89" s="140"/>
      <c r="AE89" s="115"/>
      <c r="AF89" s="205"/>
      <c r="AG89" s="201"/>
      <c r="AH89" s="201"/>
      <c r="AI89" s="201"/>
      <c r="AJ89" s="201"/>
      <c r="AK89" s="201"/>
      <c r="AL89" s="201"/>
      <c r="AM89" s="173"/>
      <c r="AN89" s="173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40"/>
      <c r="BL89" s="140"/>
      <c r="BM89" s="140"/>
      <c r="BN89" s="115"/>
      <c r="BO89" s="115"/>
      <c r="BP89" s="115"/>
      <c r="BQ89" s="115"/>
      <c r="BR89" s="147"/>
      <c r="BS89" s="147"/>
      <c r="BT89" s="147"/>
      <c r="BU89" s="142"/>
      <c r="BV89" s="114"/>
      <c r="BW89" s="142"/>
      <c r="BX89" s="114"/>
      <c r="BY89" s="164"/>
      <c r="BZ89" s="146"/>
      <c r="CA89" s="146"/>
      <c r="CB89" s="146"/>
      <c r="CC89" s="146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</row>
    <row r="90" spans="1:92" ht="73.5" customHeight="1" x14ac:dyDescent="0.25">
      <c r="A90" s="145" t="s">
        <v>313</v>
      </c>
      <c r="B90" s="145" t="s">
        <v>382</v>
      </c>
      <c r="C90" s="145" t="s">
        <v>315</v>
      </c>
      <c r="D90" s="118" t="s">
        <v>316</v>
      </c>
      <c r="E90" s="144" t="s">
        <v>386</v>
      </c>
      <c r="F90" s="145" t="s">
        <v>383</v>
      </c>
      <c r="G90" s="118" t="s">
        <v>387</v>
      </c>
      <c r="H90" s="118" t="s">
        <v>388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40"/>
      <c r="AC90" s="140"/>
      <c r="AD90" s="140"/>
      <c r="AE90" s="115"/>
      <c r="AF90" s="200"/>
      <c r="AG90" s="201"/>
      <c r="AH90" s="201"/>
      <c r="AI90" s="201"/>
      <c r="AJ90" s="201"/>
      <c r="AK90" s="201"/>
      <c r="AL90" s="201"/>
      <c r="AM90" s="173"/>
      <c r="AN90" s="173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40"/>
      <c r="BL90" s="140"/>
      <c r="BM90" s="140"/>
      <c r="BN90" s="115"/>
      <c r="BO90" s="115"/>
      <c r="BP90" s="115"/>
      <c r="BQ90" s="115"/>
      <c r="BR90" s="147"/>
      <c r="BS90" s="147"/>
      <c r="BT90" s="147"/>
      <c r="BU90" s="142"/>
      <c r="BV90" s="114"/>
      <c r="BW90" s="142"/>
      <c r="BX90" s="114"/>
      <c r="BY90" s="118"/>
      <c r="BZ90" s="144"/>
      <c r="CA90" s="145"/>
      <c r="CB90" s="118"/>
      <c r="CC90" s="118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</row>
    <row r="91" spans="1:92" ht="10.5" customHeight="1" x14ac:dyDescent="0.25">
      <c r="A91" s="172"/>
      <c r="B91" s="165" t="s">
        <v>389</v>
      </c>
      <c r="C91" s="145"/>
      <c r="D91" s="145"/>
      <c r="E91" s="145"/>
      <c r="F91" s="145"/>
      <c r="G91" s="145"/>
      <c r="H91" s="14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40"/>
      <c r="AC91" s="140"/>
      <c r="AD91" s="140"/>
      <c r="AE91" s="115"/>
      <c r="AF91" s="205"/>
      <c r="AG91" s="201"/>
      <c r="AH91" s="201"/>
      <c r="AI91" s="201"/>
      <c r="AJ91" s="201"/>
      <c r="AK91" s="201"/>
      <c r="AL91" s="201"/>
      <c r="AM91" s="173"/>
      <c r="AN91" s="173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40"/>
      <c r="BL91" s="140"/>
      <c r="BM91" s="140"/>
      <c r="BN91" s="115"/>
      <c r="BO91" s="115"/>
      <c r="BP91" s="115"/>
      <c r="BQ91" s="115"/>
      <c r="BR91" s="147"/>
      <c r="BS91" s="147"/>
      <c r="BT91" s="147"/>
      <c r="BU91" s="142"/>
      <c r="BV91" s="114"/>
      <c r="BW91" s="142"/>
      <c r="BX91" s="114"/>
      <c r="BY91" s="145"/>
      <c r="BZ91" s="145"/>
      <c r="CA91" s="145"/>
      <c r="CB91" s="145"/>
      <c r="CC91" s="14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</row>
    <row r="92" spans="1:92" ht="10.5" customHeight="1" x14ac:dyDescent="0.25">
      <c r="A92" s="122">
        <v>56</v>
      </c>
      <c r="B92" s="123" t="s">
        <v>390</v>
      </c>
      <c r="C92" s="122" t="s">
        <v>349</v>
      </c>
      <c r="D92" s="138">
        <v>1645</v>
      </c>
      <c r="E92" s="138">
        <v>9251</v>
      </c>
      <c r="F92" s="138">
        <v>9251</v>
      </c>
      <c r="G92" s="138">
        <v>315.30780800000002</v>
      </c>
      <c r="H92" s="138">
        <v>33200</v>
      </c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48"/>
      <c r="AC92" s="148"/>
      <c r="AD92" s="148"/>
      <c r="AE92" s="132"/>
      <c r="AF92" s="205"/>
      <c r="AG92" s="201"/>
      <c r="AH92" s="201"/>
      <c r="AI92" s="201"/>
      <c r="AJ92" s="201"/>
      <c r="AK92" s="201"/>
      <c r="AL92" s="201"/>
      <c r="AM92" s="173"/>
      <c r="AN92" s="173"/>
      <c r="AO92" s="115"/>
      <c r="AP92" s="115"/>
      <c r="AQ92" s="115"/>
      <c r="AR92" s="115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48"/>
      <c r="BL92" s="148"/>
      <c r="BM92" s="148"/>
      <c r="BN92" s="132"/>
      <c r="BO92" s="132"/>
      <c r="BP92" s="132"/>
      <c r="BQ92" s="132"/>
      <c r="BR92" s="149"/>
      <c r="BS92" s="149"/>
      <c r="BT92" s="149"/>
      <c r="BU92" s="150"/>
      <c r="BV92" s="131"/>
      <c r="BW92" s="150"/>
      <c r="BX92" s="131"/>
      <c r="BY92" s="138"/>
      <c r="BZ92" s="138"/>
      <c r="CA92" s="138"/>
      <c r="CB92" s="138"/>
      <c r="CC92" s="138"/>
      <c r="CD92" s="132"/>
      <c r="CE92" s="132"/>
      <c r="CF92" s="132"/>
      <c r="CG92" s="132"/>
      <c r="CH92" s="132"/>
      <c r="CI92" s="132"/>
      <c r="CJ92" s="132"/>
      <c r="CK92" s="132"/>
      <c r="CL92" s="132"/>
      <c r="CM92" s="132"/>
      <c r="CN92" s="132"/>
    </row>
    <row r="93" spans="1:92" ht="10.5" customHeight="1" x14ac:dyDescent="0.25">
      <c r="A93" s="133"/>
      <c r="B93" s="134" t="s">
        <v>391</v>
      </c>
      <c r="C93" s="133"/>
      <c r="D93" s="135">
        <v>1645</v>
      </c>
      <c r="E93" s="135">
        <v>9251</v>
      </c>
      <c r="F93" s="135">
        <v>9251</v>
      </c>
      <c r="G93" s="135"/>
      <c r="H93" s="135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48"/>
      <c r="AC93" s="148"/>
      <c r="AD93" s="148"/>
      <c r="AE93" s="132"/>
      <c r="AF93" s="205"/>
      <c r="AG93" s="201"/>
      <c r="AH93" s="201"/>
      <c r="AI93" s="201"/>
      <c r="AJ93" s="201"/>
      <c r="AK93" s="201"/>
      <c r="AL93" s="201"/>
      <c r="AM93" s="173"/>
      <c r="AN93" s="173"/>
      <c r="AO93" s="115"/>
      <c r="AP93" s="115"/>
      <c r="AQ93" s="115"/>
      <c r="AR93" s="115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48"/>
      <c r="BL93" s="148"/>
      <c r="BM93" s="148"/>
      <c r="BN93" s="132"/>
      <c r="BO93" s="132"/>
      <c r="BP93" s="132"/>
      <c r="BQ93" s="132"/>
      <c r="BR93" s="132"/>
      <c r="BS93" s="132"/>
      <c r="BT93" s="132"/>
      <c r="BU93" s="149"/>
      <c r="BV93" s="150"/>
      <c r="BW93" s="149"/>
      <c r="BX93" s="150"/>
      <c r="BY93" s="135"/>
      <c r="BZ93" s="135"/>
      <c r="CA93" s="135"/>
      <c r="CB93" s="135"/>
      <c r="CC93" s="135"/>
      <c r="CD93" s="132"/>
      <c r="CE93" s="132"/>
      <c r="CF93" s="132"/>
      <c r="CG93" s="132"/>
      <c r="CH93" s="132"/>
      <c r="CI93" s="132"/>
      <c r="CJ93" s="132"/>
      <c r="CK93" s="132"/>
      <c r="CL93" s="132"/>
      <c r="CM93" s="132"/>
      <c r="CN93" s="132"/>
    </row>
    <row r="94" spans="1:92" ht="10.5" customHeight="1" x14ac:dyDescent="0.25">
      <c r="A94" s="133"/>
      <c r="B94" s="134" t="s">
        <v>422</v>
      </c>
      <c r="C94" s="133"/>
      <c r="D94" s="135">
        <v>19041</v>
      </c>
      <c r="E94" s="135"/>
      <c r="F94" s="135"/>
      <c r="G94" s="135"/>
      <c r="H94" s="13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40"/>
      <c r="AC94" s="140"/>
      <c r="AD94" s="140"/>
      <c r="AE94" s="115"/>
      <c r="AF94" s="205"/>
      <c r="AG94" s="201"/>
      <c r="AH94" s="201"/>
      <c r="AI94" s="201"/>
      <c r="AJ94" s="201"/>
      <c r="AK94" s="201"/>
      <c r="AL94" s="201"/>
      <c r="AM94" s="173"/>
      <c r="AN94" s="173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40"/>
      <c r="BL94" s="140"/>
      <c r="BM94" s="140"/>
      <c r="BN94" s="115"/>
      <c r="BO94" s="115"/>
      <c r="BP94" s="115"/>
      <c r="BQ94" s="115"/>
      <c r="BR94" s="147"/>
      <c r="BS94" s="147"/>
      <c r="BT94" s="147"/>
      <c r="BU94" s="142"/>
      <c r="BV94" s="114"/>
      <c r="BW94" s="142"/>
      <c r="BX94" s="114"/>
      <c r="BY94" s="135"/>
      <c r="BZ94" s="135"/>
      <c r="CA94" s="135"/>
      <c r="CB94" s="135"/>
      <c r="CC94" s="13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</row>
    <row r="95" spans="1:92" ht="10.5" customHeight="1" x14ac:dyDescent="0.25">
      <c r="A95" s="133"/>
      <c r="B95" s="134" t="s">
        <v>392</v>
      </c>
      <c r="C95" s="133"/>
      <c r="D95" s="135">
        <v>20686</v>
      </c>
      <c r="E95" s="136"/>
      <c r="F95" s="136"/>
      <c r="G95" s="136"/>
      <c r="H95" s="136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48"/>
      <c r="AC95" s="148"/>
      <c r="AD95" s="148"/>
      <c r="AE95" s="132"/>
      <c r="AF95" s="205"/>
      <c r="AG95" s="201"/>
      <c r="AH95" s="201"/>
      <c r="AI95" s="201"/>
      <c r="AJ95" s="201"/>
      <c r="AK95" s="201"/>
      <c r="AL95" s="201"/>
      <c r="AM95" s="173"/>
      <c r="AN95" s="173"/>
      <c r="AO95" s="115"/>
      <c r="AP95" s="115"/>
      <c r="AQ95" s="115"/>
      <c r="AR95" s="115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48"/>
      <c r="BL95" s="148"/>
      <c r="BM95" s="148"/>
      <c r="BN95" s="132"/>
      <c r="BO95" s="132"/>
      <c r="BP95" s="132"/>
      <c r="BQ95" s="132"/>
      <c r="BR95" s="132"/>
      <c r="BS95" s="132"/>
      <c r="BT95" s="132"/>
      <c r="BU95" s="149"/>
      <c r="BV95" s="150"/>
      <c r="BW95" s="149"/>
      <c r="BX95" s="150"/>
      <c r="BY95" s="135"/>
      <c r="BZ95" s="136"/>
      <c r="CA95" s="136"/>
      <c r="CB95" s="136"/>
      <c r="CC95" s="136"/>
      <c r="CD95" s="132"/>
      <c r="CE95" s="132"/>
      <c r="CF95" s="132"/>
      <c r="CG95" s="132"/>
      <c r="CH95" s="132"/>
      <c r="CI95" s="132"/>
      <c r="CJ95" s="132"/>
      <c r="CK95" s="132"/>
      <c r="CL95" s="132"/>
      <c r="CM95" s="132"/>
      <c r="CN95" s="132"/>
    </row>
    <row r="96" spans="1:92" x14ac:dyDescent="0.25">
      <c r="B96" s="115"/>
      <c r="C96" s="115"/>
      <c r="D96" s="115"/>
      <c r="E96" s="115"/>
      <c r="F96" s="139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40"/>
      <c r="AC96" s="140"/>
      <c r="AD96" s="140"/>
      <c r="AE96" s="115"/>
      <c r="AF96" s="205"/>
      <c r="AG96" s="201"/>
      <c r="AH96" s="201"/>
      <c r="AI96" s="201"/>
      <c r="AJ96" s="201"/>
      <c r="AK96" s="201"/>
      <c r="AL96" s="201"/>
      <c r="AM96" s="173"/>
      <c r="AN96" s="173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40"/>
      <c r="BL96" s="140"/>
      <c r="BM96" s="140"/>
      <c r="BN96" s="115"/>
      <c r="BO96" s="115"/>
      <c r="BP96" s="115"/>
      <c r="BQ96" s="115"/>
      <c r="BR96" s="115"/>
      <c r="BS96" s="115"/>
      <c r="BT96" s="115"/>
      <c r="BU96" s="147"/>
      <c r="BV96" s="142"/>
      <c r="BW96" s="147"/>
      <c r="BX96" s="142"/>
      <c r="BY96" s="115"/>
      <c r="BZ96" s="115"/>
      <c r="CA96" s="139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</row>
    <row r="97" spans="1:92" ht="31.5" customHeight="1" x14ac:dyDescent="0.25">
      <c r="A97" s="145"/>
      <c r="B97" s="145" t="s">
        <v>393</v>
      </c>
      <c r="C97" s="145"/>
      <c r="D97" s="118" t="s">
        <v>316</v>
      </c>
      <c r="E97" s="115"/>
      <c r="F97" s="139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40"/>
      <c r="AC97" s="140"/>
      <c r="AD97" s="140"/>
      <c r="AE97" s="115"/>
      <c r="AF97" s="205"/>
      <c r="AG97" s="201"/>
      <c r="AH97" s="201"/>
      <c r="AI97" s="201"/>
      <c r="AJ97" s="201"/>
      <c r="AK97" s="201"/>
      <c r="AL97" s="201"/>
      <c r="AM97" s="173"/>
      <c r="AN97" s="173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40"/>
      <c r="BL97" s="140"/>
      <c r="BM97" s="140"/>
      <c r="BN97" s="115"/>
      <c r="BO97" s="115"/>
      <c r="BP97" s="115"/>
      <c r="BQ97" s="115"/>
      <c r="BR97" s="115"/>
      <c r="BS97" s="115"/>
      <c r="BT97" s="115"/>
      <c r="BU97" s="147"/>
      <c r="BV97" s="142"/>
      <c r="BW97" s="147"/>
      <c r="BX97" s="142"/>
      <c r="BY97" s="118"/>
      <c r="BZ97" s="115"/>
      <c r="CA97" s="139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</row>
    <row r="98" spans="1:92" ht="10.5" customHeight="1" x14ac:dyDescent="0.25">
      <c r="A98" s="166"/>
      <c r="B98" s="167" t="s">
        <v>394</v>
      </c>
      <c r="C98" s="168"/>
      <c r="D98" s="169">
        <v>304974</v>
      </c>
      <c r="E98" s="115"/>
      <c r="F98" s="139"/>
      <c r="G98" s="115"/>
      <c r="H98" s="115"/>
      <c r="I98" s="154"/>
      <c r="J98" s="161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40"/>
      <c r="AC98" s="140"/>
      <c r="AD98" s="140"/>
      <c r="AE98" s="115"/>
      <c r="AF98" s="205"/>
      <c r="AG98" s="201"/>
      <c r="AH98" s="201"/>
      <c r="AI98" s="201"/>
      <c r="AJ98" s="201"/>
      <c r="AK98" s="201"/>
      <c r="AL98" s="201"/>
      <c r="AM98" s="173"/>
      <c r="AN98" s="173"/>
      <c r="AO98" s="115"/>
      <c r="AP98" s="115"/>
      <c r="AQ98" s="115"/>
      <c r="AR98" s="115"/>
      <c r="AS98" s="161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40"/>
      <c r="BL98" s="140"/>
      <c r="BM98" s="140"/>
      <c r="BN98" s="115"/>
      <c r="BO98" s="115"/>
      <c r="BP98" s="115"/>
      <c r="BQ98" s="115"/>
      <c r="BR98" s="115"/>
      <c r="BS98" s="115"/>
      <c r="BT98" s="115"/>
      <c r="BU98" s="147"/>
      <c r="BV98" s="142"/>
      <c r="BW98" s="147"/>
      <c r="BX98" s="142"/>
      <c r="BY98" s="169"/>
      <c r="BZ98" s="115"/>
      <c r="CA98" s="139"/>
      <c r="CB98" s="115"/>
      <c r="CC98" s="115"/>
      <c r="CD98" s="154"/>
      <c r="CE98" s="161"/>
      <c r="CF98" s="115"/>
      <c r="CG98" s="115"/>
      <c r="CH98" s="115"/>
      <c r="CI98" s="115"/>
      <c r="CJ98" s="115"/>
      <c r="CK98" s="115"/>
      <c r="CL98" s="115"/>
      <c r="CM98" s="115"/>
      <c r="CN98" s="115"/>
    </row>
  </sheetData>
  <mergeCells count="22">
    <mergeCell ref="U1:U2"/>
    <mergeCell ref="A1:A2"/>
    <mergeCell ref="B1:B2"/>
    <mergeCell ref="C1:C2"/>
    <mergeCell ref="D1:D2"/>
    <mergeCell ref="E1:E2"/>
    <mergeCell ref="F1:F2"/>
    <mergeCell ref="G1:G2"/>
    <mergeCell ref="H1:L1"/>
    <mergeCell ref="M1:R1"/>
    <mergeCell ref="S1:S2"/>
    <mergeCell ref="T1:T2"/>
    <mergeCell ref="AB1:AD1"/>
    <mergeCell ref="AE1:AE2"/>
    <mergeCell ref="AF1:AF2"/>
    <mergeCell ref="AG1:AL1"/>
    <mergeCell ref="V1:V2"/>
    <mergeCell ref="W1:W2"/>
    <mergeCell ref="X1:X2"/>
    <mergeCell ref="Y1:Y2"/>
    <mergeCell ref="Z1:Z2"/>
    <mergeCell ref="AA1:A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Contents</vt:lpstr>
      <vt:lpstr>Overview</vt:lpstr>
      <vt:lpstr>Operating Results</vt:lpstr>
      <vt:lpstr>PL</vt:lpstr>
      <vt:lpstr>BS</vt:lpstr>
      <vt:lpstr>CF</vt:lpstr>
      <vt:lpstr>Assets valuation 2024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Фроленко Елизавета Андреевна</cp:lastModifiedBy>
  <dcterms:created xsi:type="dcterms:W3CDTF">2021-08-12T14:59:22Z</dcterms:created>
  <dcterms:modified xsi:type="dcterms:W3CDTF">2025-10-27T13:07:55Z</dcterms:modified>
</cp:coreProperties>
</file>